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120" yWindow="120" windowWidth="17580" windowHeight="12660" tabRatio="747" activeTab="0"/>
  </bookViews>
  <sheets>
    <sheet name="DOF HF Rechner" sheetId="1" r:id="rId1"/>
  </sheets>
  <definedNames>
    <definedName name="Coc">'DOF HF Rechner'!$Q$6</definedName>
    <definedName name="fstop">'DOF HF Rechner'!$F$8</definedName>
    <definedName name="HFD">'DOF HF Rechner'!#REF!</definedName>
    <definedName name="LFL">'DOF HF Rechner'!$Q$7</definedName>
    <definedName name="SuD">'DOF HF Rechner'!#REF!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D1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Filmformat
Das Filmformat ist die tatsächliche Bildgröße gemessen auf dem Film. Normalerweise verwendet man die Diagonale des Bildes zur Berechnung des Bildwinkels.
</t>
        </r>
      </text>
    </comment>
  </commentList>
</comments>
</file>

<file path=xl/sharedStrings.xml><?xml version="1.0" encoding="utf-8"?>
<sst xmlns="http://schemas.openxmlformats.org/spreadsheetml/2006/main" count="110" uniqueCount="89">
  <si>
    <t xml:space="preserve"> </t>
  </si>
  <si>
    <t>f</t>
  </si>
  <si>
    <r>
      <t>F</t>
    </r>
    <r>
      <rPr>
        <vertAlign val="subscript"/>
        <sz val="10"/>
        <rFont val="Arial"/>
        <family val="2"/>
      </rPr>
      <t>(di)</t>
    </r>
  </si>
  <si>
    <r>
      <t>F</t>
    </r>
    <r>
      <rPr>
        <vertAlign val="subscript"/>
        <sz val="10"/>
        <rFont val="Arial"/>
        <family val="2"/>
      </rPr>
      <t>(lä)</t>
    </r>
  </si>
  <si>
    <r>
      <t>F</t>
    </r>
    <r>
      <rPr>
        <vertAlign val="subscript"/>
        <sz val="10"/>
        <rFont val="Arial"/>
        <family val="2"/>
      </rPr>
      <t>(br)</t>
    </r>
  </si>
  <si>
    <t>Eingaben</t>
  </si>
  <si>
    <t>Breite Abbildungsebene</t>
  </si>
  <si>
    <t>coc</t>
  </si>
  <si>
    <t>K(f)</t>
  </si>
  <si>
    <t xml:space="preserve">theoretischer Zerstreuungskreis </t>
  </si>
  <si>
    <t>Bitte Format auswählen</t>
  </si>
  <si>
    <t>Bildformate</t>
  </si>
  <si>
    <t>Kameradaten</t>
  </si>
  <si>
    <t xml:space="preserve"> Höhe Abbildungsebene</t>
  </si>
  <si>
    <t xml:space="preserve"> diagonale Filmformat</t>
  </si>
  <si>
    <t>135er KB</t>
  </si>
  <si>
    <t>6x6 MF</t>
  </si>
  <si>
    <t xml:space="preserve">6x8 MF </t>
  </si>
  <si>
    <t>6x7 MF</t>
  </si>
  <si>
    <t>5x7,5 MF</t>
  </si>
  <si>
    <t>4x5 MF</t>
  </si>
  <si>
    <t>6x9 MF</t>
  </si>
  <si>
    <t>4''x5'' LF</t>
  </si>
  <si>
    <t>8''x10'' LF</t>
  </si>
  <si>
    <t>645 MF</t>
  </si>
  <si>
    <t>644 IF</t>
  </si>
  <si>
    <t>Schärfentiefe- und Hyperfokalrechner</t>
  </si>
  <si>
    <t>Zirkulärer Bildwinkel gemessen bei ∞</t>
  </si>
  <si>
    <t>aov x</t>
  </si>
  <si>
    <t>aov y</t>
  </si>
  <si>
    <r>
      <t>aov</t>
    </r>
    <r>
      <rPr>
        <vertAlign val="subscript"/>
        <sz val="10"/>
        <rFont val="Arial"/>
        <family val="2"/>
      </rPr>
      <t>(x/y)</t>
    </r>
  </si>
  <si>
    <r>
      <t>aov</t>
    </r>
    <r>
      <rPr>
        <vertAlign val="subscript"/>
        <sz val="10"/>
        <rFont val="Arial"/>
        <family val="2"/>
      </rPr>
      <t>(cir)</t>
    </r>
  </si>
  <si>
    <r>
      <t>F</t>
    </r>
    <r>
      <rPr>
        <vertAlign val="subscript"/>
        <sz val="10"/>
        <rFont val="Arial"/>
        <family val="2"/>
      </rPr>
      <t>(L)</t>
    </r>
  </si>
  <si>
    <t>Bitte wählen</t>
  </si>
  <si>
    <t>u</t>
  </si>
  <si>
    <t>meters</t>
  </si>
  <si>
    <t>H(fkd)</t>
  </si>
  <si>
    <t>H(nb)</t>
  </si>
  <si>
    <t>H(fd)</t>
  </si>
  <si>
    <t>Hyperfokale Distanz</t>
  </si>
  <si>
    <r>
      <t>H</t>
    </r>
    <r>
      <rPr>
        <vertAlign val="subscript"/>
        <sz val="10"/>
        <rFont val="Arial"/>
        <family val="2"/>
      </rPr>
      <t>(fkd)</t>
    </r>
  </si>
  <si>
    <r>
      <t>H</t>
    </r>
    <r>
      <rPr>
        <vertAlign val="subscript"/>
        <sz val="10"/>
        <rFont val="Arial"/>
        <family val="2"/>
      </rPr>
      <t>(nb)</t>
    </r>
    <r>
      <rPr>
        <sz val="10"/>
        <rFont val="Arial"/>
        <family val="0"/>
      </rPr>
      <t xml:space="preserve"> - H</t>
    </r>
    <r>
      <rPr>
        <vertAlign val="subscript"/>
        <sz val="10"/>
        <rFont val="Arial"/>
        <family val="2"/>
      </rPr>
      <t>(fd)</t>
    </r>
  </si>
  <si>
    <r>
      <t>D</t>
    </r>
    <r>
      <rPr>
        <vertAlign val="subscript"/>
        <sz val="10"/>
        <rFont val="Arial"/>
        <family val="2"/>
      </rPr>
      <t>(n)</t>
    </r>
    <r>
      <rPr>
        <sz val="10"/>
        <rFont val="Arial"/>
        <family val="0"/>
      </rPr>
      <t xml:space="preserve"> - D</t>
    </r>
    <r>
      <rPr>
        <vertAlign val="subscript"/>
        <sz val="10"/>
        <rFont val="Arial"/>
        <family val="2"/>
      </rPr>
      <t>(f)</t>
    </r>
  </si>
  <si>
    <r>
      <t>Fokale Schärfe ab H</t>
    </r>
    <r>
      <rPr>
        <vertAlign val="subscript"/>
        <sz val="10"/>
        <rFont val="Arial"/>
        <family val="2"/>
      </rPr>
      <t>(nb)</t>
    </r>
    <r>
      <rPr>
        <sz val="10"/>
        <rFont val="Arial"/>
        <family val="0"/>
      </rPr>
      <t xml:space="preserve"> bis H</t>
    </r>
    <r>
      <rPr>
        <vertAlign val="subscript"/>
        <sz val="10"/>
        <rFont val="Arial"/>
        <family val="2"/>
      </rPr>
      <t xml:space="preserve">(fd) </t>
    </r>
  </si>
  <si>
    <r>
      <t>Tiefenschärfe von D</t>
    </r>
    <r>
      <rPr>
        <vertAlign val="subscript"/>
        <sz val="10"/>
        <rFont val="Arial"/>
        <family val="2"/>
      </rPr>
      <t>(n)</t>
    </r>
    <r>
      <rPr>
        <sz val="10"/>
        <rFont val="Arial"/>
        <family val="0"/>
      </rPr>
      <t xml:space="preserve"> bis D</t>
    </r>
    <r>
      <rPr>
        <vertAlign val="subscript"/>
        <sz val="10"/>
        <rFont val="Arial"/>
        <family val="2"/>
      </rPr>
      <t>(f)</t>
    </r>
  </si>
  <si>
    <t>absolute Schärfentiefe</t>
  </si>
  <si>
    <r>
      <t>D</t>
    </r>
    <r>
      <rPr>
        <vertAlign val="subscript"/>
        <sz val="10"/>
        <rFont val="Arial"/>
        <family val="2"/>
      </rPr>
      <t>(a)</t>
    </r>
  </si>
  <si>
    <t>Ausgaben</t>
  </si>
  <si>
    <t>Tabellenausgabe</t>
  </si>
  <si>
    <r>
      <t>K</t>
    </r>
    <r>
      <rPr>
        <vertAlign val="subscript"/>
        <sz val="8"/>
        <color indexed="10"/>
        <rFont val="Arial"/>
        <family val="0"/>
      </rPr>
      <t>(f)</t>
    </r>
  </si>
  <si>
    <r>
      <t>F</t>
    </r>
    <r>
      <rPr>
        <vertAlign val="subscript"/>
        <sz val="8"/>
        <color indexed="10"/>
        <rFont val="Arial"/>
        <family val="0"/>
      </rPr>
      <t>(br)</t>
    </r>
  </si>
  <si>
    <r>
      <t>F</t>
    </r>
    <r>
      <rPr>
        <vertAlign val="subscript"/>
        <sz val="8"/>
        <color indexed="10"/>
        <rFont val="Arial"/>
        <family val="0"/>
      </rPr>
      <t>(lä)</t>
    </r>
  </si>
  <si>
    <r>
      <t>F</t>
    </r>
    <r>
      <rPr>
        <vertAlign val="subscript"/>
        <sz val="8"/>
        <color indexed="10"/>
        <rFont val="Arial"/>
        <family val="0"/>
      </rPr>
      <t>(L)</t>
    </r>
  </si>
  <si>
    <t>fov</t>
  </si>
  <si>
    <t>"angle of view" gemessen bei ∞</t>
  </si>
  <si>
    <t>"field of view"</t>
  </si>
  <si>
    <t>aov(cir) in Grad</t>
  </si>
  <si>
    <t>fov in Meter</t>
  </si>
  <si>
    <t>H(fkd) in Meter</t>
  </si>
  <si>
    <t>Distanz zum Objekt (u) in Meter</t>
  </si>
  <si>
    <t>Kleinster Abstand</t>
  </si>
  <si>
    <t>Exponent</t>
  </si>
  <si>
    <t>grafische Ausgabe</t>
  </si>
  <si>
    <t>Blende (f)</t>
  </si>
  <si>
    <r>
      <t>H</t>
    </r>
    <r>
      <rPr>
        <vertAlign val="subscript"/>
        <sz val="8"/>
        <color indexed="10"/>
        <rFont val="Arial"/>
        <family val="2"/>
      </rPr>
      <t>(fkd)</t>
    </r>
    <r>
      <rPr>
        <sz val="8"/>
        <color indexed="10"/>
        <rFont val="Arial"/>
        <family val="0"/>
      </rPr>
      <t xml:space="preserve"> in Meter</t>
    </r>
  </si>
  <si>
    <r>
      <t>Schärfe ab  h</t>
    </r>
    <r>
      <rPr>
        <vertAlign val="subscript"/>
        <sz val="8"/>
        <color indexed="10"/>
        <rFont val="Arial"/>
        <family val="2"/>
      </rPr>
      <t>(fkd)</t>
    </r>
    <r>
      <rPr>
        <sz val="8"/>
        <color indexed="10"/>
        <rFont val="Arial"/>
        <family val="0"/>
      </rPr>
      <t>/2</t>
    </r>
  </si>
  <si>
    <r>
      <t>(u * F</t>
    </r>
    <r>
      <rPr>
        <vertAlign val="subscript"/>
        <sz val="10"/>
        <rFont val="Arial"/>
        <family val="2"/>
      </rPr>
      <t>(lä)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</si>
  <si>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r>
      <t>(u * F</t>
    </r>
    <r>
      <rPr>
        <vertAlign val="subscript"/>
        <sz val="10"/>
        <rFont val="Arial"/>
        <family val="2"/>
      </rPr>
      <t xml:space="preserve">(br) </t>
    </r>
    <r>
      <rPr>
        <sz val="10"/>
        <rFont val="Arial"/>
        <family val="0"/>
      </rPr>
      <t>/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</si>
  <si>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t>Field of view</t>
  </si>
  <si>
    <r>
      <t>fov</t>
    </r>
    <r>
      <rPr>
        <vertAlign val="subscript"/>
        <sz val="10"/>
        <rFont val="Arial"/>
        <family val="2"/>
      </rPr>
      <t xml:space="preserve">(br) </t>
    </r>
    <r>
      <rPr>
        <sz val="10"/>
        <rFont val="Arial"/>
        <family val="0"/>
      </rPr>
      <t>=</t>
    </r>
  </si>
  <si>
    <r>
      <t>fov</t>
    </r>
    <r>
      <rPr>
        <vertAlign val="subscript"/>
        <sz val="10"/>
        <rFont val="Arial"/>
        <family val="2"/>
      </rPr>
      <t xml:space="preserve">(lä) </t>
    </r>
    <r>
      <rPr>
        <sz val="10"/>
        <rFont val="Arial"/>
        <family val="0"/>
      </rPr>
      <t>=</t>
    </r>
  </si>
  <si>
    <r>
      <t>h</t>
    </r>
    <r>
      <rPr>
        <vertAlign val="subscript"/>
        <sz val="10"/>
        <rFont val="Arial"/>
        <family val="2"/>
      </rPr>
      <t xml:space="preserve">(fkd) </t>
    </r>
    <r>
      <rPr>
        <sz val="10"/>
        <rFont val="Arial"/>
        <family val="0"/>
      </rPr>
      <t>=</t>
    </r>
  </si>
  <si>
    <r>
      <t>(F</t>
    </r>
    <r>
      <rPr>
        <vertAlign val="subscript"/>
        <sz val="10"/>
        <rFont val="Arial"/>
        <family val="2"/>
      </rPr>
      <t>(L)</t>
    </r>
    <r>
      <rPr>
        <vertAlign val="superscript"/>
        <sz val="10"/>
        <rFont val="Arial"/>
        <family val="2"/>
      </rPr>
      <t>^2</t>
    </r>
    <r>
      <rPr>
        <sz val="10"/>
        <rFont val="Arial"/>
        <family val="0"/>
      </rPr>
      <t>) / (f * coc))+ F</t>
    </r>
    <r>
      <rPr>
        <vertAlign val="subscript"/>
        <sz val="10"/>
        <rFont val="Arial"/>
        <family val="2"/>
      </rPr>
      <t>(L)</t>
    </r>
  </si>
  <si>
    <t>Hyperfokaldistanz</t>
  </si>
  <si>
    <t>Hyperfokalnahdistanz</t>
  </si>
  <si>
    <t>Hyperfokalferndistanz</t>
  </si>
  <si>
    <r>
      <t>H</t>
    </r>
    <r>
      <rPr>
        <vertAlign val="subscript"/>
        <sz val="10"/>
        <rFont val="Arial"/>
        <family val="2"/>
      </rPr>
      <t>(nd)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</si>
  <si>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(fd)</t>
    </r>
    <r>
      <rPr>
        <sz val="10"/>
        <rFont val="Arial"/>
        <family val="0"/>
      </rPr>
      <t xml:space="preserve"> =</t>
    </r>
  </si>
  <si>
    <r>
      <t>(u*  (H</t>
    </r>
    <r>
      <rPr>
        <vertAlign val="subscript"/>
        <sz val="10"/>
        <rFont val="Arial"/>
        <family val="2"/>
      </rPr>
      <t xml:space="preserve">(fk) </t>
    </r>
    <r>
      <rPr>
        <sz val="10"/>
        <rFont val="Arial"/>
        <family val="0"/>
      </rPr>
      <t>-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)) / (H</t>
    </r>
    <r>
      <rPr>
        <vertAlign val="subscript"/>
        <sz val="10"/>
        <rFont val="Arial"/>
        <family val="2"/>
      </rPr>
      <t xml:space="preserve">(fkd) </t>
    </r>
    <r>
      <rPr>
        <sz val="10"/>
        <rFont val="Arial"/>
        <family val="0"/>
      </rPr>
      <t>+ u - (2*F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</si>
  <si>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r>
      <t>(u * (H</t>
    </r>
    <r>
      <rPr>
        <vertAlign val="subscript"/>
        <sz val="10"/>
        <rFont val="Arial"/>
        <family val="2"/>
      </rPr>
      <t>(fkd)</t>
    </r>
    <r>
      <rPr>
        <sz val="10"/>
        <rFont val="Arial"/>
        <family val="0"/>
      </rPr>
      <t xml:space="preserve"> -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 / (H</t>
    </r>
    <r>
      <rPr>
        <vertAlign val="subscript"/>
        <sz val="10"/>
        <rFont val="Arial"/>
        <family val="2"/>
      </rPr>
      <t>(fkd)</t>
    </r>
    <r>
      <rPr>
        <sz val="10"/>
        <rFont val="Arial"/>
        <family val="0"/>
      </rPr>
      <t xml:space="preserve"> - u)</t>
    </r>
  </si>
  <si>
    <t>Zerstreuungskreis</t>
  </si>
  <si>
    <t xml:space="preserve">coc = </t>
  </si>
  <si>
    <r>
      <t>0,6933753 * SQR(F</t>
    </r>
    <r>
      <rPr>
        <vertAlign val="subscript"/>
        <sz val="10"/>
        <rFont val="Arial"/>
        <family val="2"/>
      </rPr>
      <t>(br)</t>
    </r>
    <r>
      <rPr>
        <sz val="10"/>
        <rFont val="Arial"/>
        <family val="0"/>
      </rPr>
      <t>^2 + F</t>
    </r>
    <r>
      <rPr>
        <vertAlign val="subscript"/>
        <sz val="10"/>
        <rFont val="Arial"/>
        <family val="2"/>
      </rPr>
      <t>(lä)</t>
    </r>
    <r>
      <rPr>
        <sz val="10"/>
        <rFont val="Arial"/>
        <family val="0"/>
      </rPr>
      <t>^2)</t>
    </r>
  </si>
  <si>
    <t>mathematische Grundlagen</t>
  </si>
  <si>
    <t>Kamera Format wählen</t>
  </si>
  <si>
    <t>Brennweite wählen</t>
  </si>
  <si>
    <t>Blende wählen</t>
  </si>
  <si>
    <t>Distanz zum Objekt wählen</t>
  </si>
  <si>
    <t>eingeben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</si>
</sst>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s&quot;"/>
    <numFmt numFmtId="165" formatCode="0.00000"/>
    <numFmt numFmtId="166" formatCode="0.0000"/>
    <numFmt numFmtId="167" formatCode="0.00\ &quot;s&quot;"/>
    <numFmt numFmtId="168" formatCode="0.000"/>
    <numFmt numFmtId="169" formatCode="0.0"/>
    <numFmt numFmtId="170" formatCode="mm:ss.0;@"/>
    <numFmt numFmtId="171" formatCode="[$-F400]h:mm:ss\ AM/PM"/>
    <numFmt numFmtId="172" formatCode="_-* #,##0.0000\ _€_-;\-* #,##0.0000\ _€_-;_-* &quot;-&quot;??\ _€_-;_-@_-"/>
    <numFmt numFmtId="173" formatCode="_-* #,##0.0000\ _€_-;\-* #,##0.0000\ _€_-;_-* &quot;-&quot;????\ _€_-;_-@_-"/>
    <numFmt numFmtId="174" formatCode="_-* #,##0.00000\ _€_-;\-* #,##0.0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0000\ _€_-;\-* #,##0.00000\ _€_-;_-* &quot;-&quot;?????\ _€_-;_-@_-"/>
    <numFmt numFmtId="178" formatCode="#\ ???/???"/>
    <numFmt numFmtId="179" formatCode="#,##0.00\ &quot;s&quot;"/>
    <numFmt numFmtId="180" formatCode="#,##0.000\ &quot;s&quot;"/>
    <numFmt numFmtId="181" formatCode="#,##0\ &quot;s&quot;"/>
    <numFmt numFmtId="182" formatCode="&quot;+&quot;\ 0"/>
    <numFmt numFmtId="183" formatCode="&quot;+&quot;#\ ?/?"/>
    <numFmt numFmtId="184" formatCode="&quot;+&quot;\ #\ ?/?"/>
    <numFmt numFmtId="185" formatCode="00000"/>
    <numFmt numFmtId="186" formatCode="0\ &quot;mm&quot;"/>
    <numFmt numFmtId="187" formatCode="0.00\ &quot;mm&quot;"/>
    <numFmt numFmtId="188" formatCode="0\ &quot;ASA&quot;"/>
    <numFmt numFmtId="189" formatCode="0.00\ &quot;Grad&quot;"/>
    <numFmt numFmtId="190" formatCode="0.00\ &quot;sec&quot;"/>
    <numFmt numFmtId="191" formatCode="0.00\ \°"/>
    <numFmt numFmtId="192" formatCode="#,##0.00\ &quot;mm&quot;"/>
    <numFmt numFmtId="193" formatCode="#,##0.00\ &quot;μm&quot;"/>
    <numFmt numFmtId="194" formatCode="#,##0\ &quot;°&quot;"/>
    <numFmt numFmtId="195" formatCode="#,##0.00&quot;°&quot;_ ;\-#,##0.00&quot;°&quot;"/>
    <numFmt numFmtId="196" formatCode="#,##0.00\ &quot;m&quot;"/>
    <numFmt numFmtId="197" formatCode="&quot;f/&quot;0.0"/>
    <numFmt numFmtId="198" formatCode="#,##0.00000\ &quot;m&quot;"/>
    <numFmt numFmtId="199" formatCode="0.0\ &quot;m&quot;"/>
    <numFmt numFmtId="200" formatCode="0.00\ &quot;m&quot;"/>
    <numFmt numFmtId="201" formatCode="0\ &quot;°&quot;"/>
    <numFmt numFmtId="202" formatCode="0.00000000"/>
    <numFmt numFmtId="203" formatCode="0.0000000"/>
    <numFmt numFmtId="204" formatCode="0.000000"/>
  </numFmts>
  <fonts count="1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vertAlign val="subscript"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sz val="10.5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92" fontId="0" fillId="0" borderId="1" xfId="0" applyNumberFormat="1" applyBorder="1" applyAlignment="1" applyProtection="1">
      <alignment horizontal="center"/>
      <protection hidden="1"/>
    </xf>
    <xf numFmtId="192" fontId="0" fillId="0" borderId="2" xfId="0" applyNumberForma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195" fontId="0" fillId="0" borderId="1" xfId="16" applyNumberFormat="1" applyBorder="1" applyAlignment="1" applyProtection="1">
      <alignment horizontal="center"/>
      <protection hidden="1"/>
    </xf>
    <xf numFmtId="192" fontId="0" fillId="0" borderId="3" xfId="0" applyNumberForma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 horizontal="left"/>
      <protection hidden="1" locked="0"/>
    </xf>
    <xf numFmtId="166" fontId="9" fillId="0" borderId="0" xfId="0" applyNumberFormat="1" applyFont="1" applyBorder="1" applyAlignment="1" applyProtection="1">
      <alignment horizontal="center"/>
      <protection hidden="1" locked="0"/>
    </xf>
    <xf numFmtId="192" fontId="9" fillId="0" borderId="0" xfId="0" applyNumberFormat="1" applyFont="1" applyBorder="1" applyAlignment="1" applyProtection="1">
      <alignment/>
      <protection hidden="1" locked="0"/>
    </xf>
    <xf numFmtId="192" fontId="9" fillId="0" borderId="10" xfId="0" applyNumberFormat="1" applyFont="1" applyBorder="1" applyAlignment="1" applyProtection="1">
      <alignment/>
      <protection hidden="1" locked="0"/>
    </xf>
    <xf numFmtId="197" fontId="9" fillId="0" borderId="11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left"/>
      <protection hidden="1" locked="0"/>
    </xf>
    <xf numFmtId="43" fontId="9" fillId="0" borderId="9" xfId="16" applyFont="1" applyBorder="1" applyAlignment="1" applyProtection="1">
      <alignment horizontal="center"/>
      <protection locked="0"/>
    </xf>
    <xf numFmtId="43" fontId="9" fillId="0" borderId="10" xfId="16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hidden="1" locked="0"/>
    </xf>
    <xf numFmtId="166" fontId="9" fillId="0" borderId="13" xfId="0" applyNumberFormat="1" applyFont="1" applyBorder="1" applyAlignment="1" applyProtection="1">
      <alignment horizontal="center"/>
      <protection hidden="1" locked="0"/>
    </xf>
    <xf numFmtId="192" fontId="9" fillId="0" borderId="13" xfId="0" applyNumberFormat="1" applyFont="1" applyBorder="1" applyAlignment="1" applyProtection="1">
      <alignment/>
      <protection hidden="1" locked="0"/>
    </xf>
    <xf numFmtId="192" fontId="9" fillId="0" borderId="14" xfId="0" applyNumberFormat="1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 horizontal="left"/>
      <protection hidden="1" locked="0"/>
    </xf>
    <xf numFmtId="166" fontId="9" fillId="0" borderId="16" xfId="0" applyNumberFormat="1" applyFont="1" applyBorder="1" applyAlignment="1" applyProtection="1">
      <alignment horizontal="center"/>
      <protection hidden="1" locked="0"/>
    </xf>
    <xf numFmtId="192" fontId="9" fillId="0" borderId="16" xfId="0" applyNumberFormat="1" applyFont="1" applyBorder="1" applyAlignment="1" applyProtection="1">
      <alignment/>
      <protection hidden="1" locked="0"/>
    </xf>
    <xf numFmtId="192" fontId="9" fillId="0" borderId="4" xfId="0" applyNumberFormat="1" applyFont="1" applyBorder="1" applyAlignment="1" applyProtection="1">
      <alignment/>
      <protection hidden="1" locked="0"/>
    </xf>
    <xf numFmtId="0" fontId="9" fillId="0" borderId="9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 locked="0"/>
    </xf>
    <xf numFmtId="198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197" fontId="9" fillId="0" borderId="17" xfId="0" applyNumberFormat="1" applyFont="1" applyBorder="1" applyAlignment="1" applyProtection="1">
      <alignment horizontal="center"/>
      <protection locked="0"/>
    </xf>
    <xf numFmtId="196" fontId="9" fillId="0" borderId="0" xfId="0" applyNumberFormat="1" applyFont="1" applyBorder="1" applyAlignment="1" applyProtection="1">
      <alignment horizontal="center"/>
      <protection locked="0"/>
    </xf>
    <xf numFmtId="196" fontId="9" fillId="0" borderId="10" xfId="0" applyNumberFormat="1" applyFont="1" applyBorder="1" applyAlignment="1" applyProtection="1">
      <alignment horizontal="center"/>
      <protection locked="0"/>
    </xf>
    <xf numFmtId="196" fontId="9" fillId="0" borderId="0" xfId="16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hidden="1" locked="0"/>
    </xf>
    <xf numFmtId="0" fontId="9" fillId="0" borderId="13" xfId="0" applyFont="1" applyBorder="1" applyAlignment="1" applyProtection="1">
      <alignment horizontal="center"/>
      <protection locked="0"/>
    </xf>
    <xf numFmtId="196" fontId="9" fillId="0" borderId="13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2" fontId="5" fillId="3" borderId="18" xfId="0" applyNumberFormat="1" applyFont="1" applyFill="1" applyBorder="1" applyAlignment="1" applyProtection="1">
      <alignment horizontal="center"/>
      <protection hidden="1" locked="0"/>
    </xf>
    <xf numFmtId="197" fontId="5" fillId="3" borderId="18" xfId="0" applyNumberFormat="1" applyFont="1" applyFill="1" applyBorder="1" applyAlignment="1" applyProtection="1">
      <alignment horizontal="center"/>
      <protection locked="0"/>
    </xf>
    <xf numFmtId="196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94" fontId="0" fillId="0" borderId="2" xfId="16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196" fontId="0" fillId="0" borderId="1" xfId="0" applyNumberFormat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10" fillId="2" borderId="16" xfId="0" applyFont="1" applyFill="1" applyBorder="1" applyAlignment="1" applyProtection="1">
      <alignment horizontal="center"/>
      <protection/>
    </xf>
    <xf numFmtId="199" fontId="4" fillId="0" borderId="23" xfId="0" applyNumberFormat="1" applyFont="1" applyBorder="1" applyAlignment="1" applyProtection="1">
      <alignment horizontal="center"/>
      <protection/>
    </xf>
    <xf numFmtId="43" fontId="4" fillId="0" borderId="24" xfId="16" applyNumberFormat="1" applyFont="1" applyBorder="1" applyAlignment="1" applyProtection="1">
      <alignment horizontal="center"/>
      <protection/>
    </xf>
    <xf numFmtId="201" fontId="4" fillId="0" borderId="21" xfId="0" applyNumberFormat="1" applyFont="1" applyBorder="1" applyAlignment="1" applyProtection="1">
      <alignment horizontal="center"/>
      <protection/>
    </xf>
    <xf numFmtId="201" fontId="4" fillId="0" borderId="18" xfId="0" applyNumberFormat="1" applyFont="1" applyBorder="1" applyAlignment="1" applyProtection="1">
      <alignment horizontal="center"/>
      <protection/>
    </xf>
    <xf numFmtId="201" fontId="4" fillId="0" borderId="25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99" fontId="4" fillId="2" borderId="27" xfId="0" applyNumberFormat="1" applyFont="1" applyFill="1" applyBorder="1" applyAlignment="1" applyProtection="1">
      <alignment horizontal="center"/>
      <protection/>
    </xf>
    <xf numFmtId="199" fontId="4" fillId="2" borderId="28" xfId="0" applyNumberFormat="1" applyFont="1" applyFill="1" applyBorder="1" applyAlignment="1" applyProtection="1">
      <alignment horizontal="center"/>
      <protection/>
    </xf>
    <xf numFmtId="196" fontId="4" fillId="0" borderId="21" xfId="16" applyNumberFormat="1" applyFont="1" applyBorder="1" applyAlignment="1" applyProtection="1">
      <alignment horizontal="center"/>
      <protection/>
    </xf>
    <xf numFmtId="196" fontId="4" fillId="0" borderId="18" xfId="16" applyNumberFormat="1" applyFont="1" applyBorder="1" applyAlignment="1" applyProtection="1">
      <alignment horizontal="center"/>
      <protection/>
    </xf>
    <xf numFmtId="196" fontId="4" fillId="0" borderId="25" xfId="16" applyNumberFormat="1" applyFont="1" applyBorder="1" applyAlignment="1" applyProtection="1">
      <alignment horizontal="center"/>
      <protection/>
    </xf>
    <xf numFmtId="196" fontId="4" fillId="0" borderId="20" xfId="16" applyNumberFormat="1" applyFont="1" applyBorder="1" applyAlignment="1" applyProtection="1">
      <alignment horizontal="center"/>
      <protection/>
    </xf>
    <xf numFmtId="196" fontId="4" fillId="0" borderId="2" xfId="16" applyNumberFormat="1" applyFont="1" applyBorder="1" applyAlignment="1" applyProtection="1">
      <alignment horizontal="center"/>
      <protection/>
    </xf>
    <xf numFmtId="196" fontId="4" fillId="0" borderId="26" xfId="16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197" fontId="9" fillId="0" borderId="9" xfId="0" applyNumberFormat="1" applyFont="1" applyBorder="1" applyAlignment="1" applyProtection="1">
      <alignment/>
      <protection/>
    </xf>
    <xf numFmtId="196" fontId="9" fillId="0" borderId="0" xfId="16" applyNumberFormat="1" applyFont="1" applyBorder="1" applyAlignment="1" applyProtection="1">
      <alignment/>
      <protection/>
    </xf>
    <xf numFmtId="196" fontId="9" fillId="0" borderId="0" xfId="16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3" fontId="0" fillId="0" borderId="0" xfId="16" applyBorder="1" applyAlignment="1" applyProtection="1">
      <alignment/>
      <protection/>
    </xf>
    <xf numFmtId="43" fontId="0" fillId="0" borderId="0" xfId="16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3" fontId="0" fillId="0" borderId="1" xfId="16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176" fontId="0" fillId="0" borderId="1" xfId="16" applyNumberFormat="1" applyBorder="1" applyAlignment="1" applyProtection="1">
      <alignment horizontal="center"/>
      <protection/>
    </xf>
    <xf numFmtId="176" fontId="0" fillId="0" borderId="2" xfId="16" applyNumberForma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2" borderId="32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193" fontId="0" fillId="0" borderId="2" xfId="0" applyNumberFormat="1" applyBorder="1" applyAlignment="1" applyProtection="1">
      <alignment horizontal="center"/>
      <protection/>
    </xf>
    <xf numFmtId="19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200" fontId="4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199" fontId="4" fillId="0" borderId="43" xfId="0" applyNumberFormat="1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Hyperfokaldistanz und Schärfe als Funktion der Blende</a:t>
            </a:r>
          </a:p>
        </c:rich>
      </c:tx>
      <c:layout>
        <c:manualLayout>
          <c:xMode val="factor"/>
          <c:yMode val="factor"/>
          <c:x val="0.23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1"/>
          <c:h val="0.90925"/>
        </c:manualLayout>
      </c:layout>
      <c:lineChart>
        <c:grouping val="standard"/>
        <c:varyColors val="0"/>
        <c:ser>
          <c:idx val="1"/>
          <c:order val="0"/>
          <c:tx>
            <c:strRef>
              <c:f>'DOF HF Rechner'!$C$54</c:f>
              <c:strCache>
                <c:ptCount val="1"/>
                <c:pt idx="0">
                  <c:v>H(fkd) in Meter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'DOF HF Rechner'!$B$55:$B$67</c:f>
              <c:numCache/>
            </c:numRef>
          </c:cat>
          <c:val>
            <c:numRef>
              <c:f>'DOF HF Rechner'!$C$55:$C$67</c:f>
              <c:numCache/>
            </c:numRef>
          </c:val>
          <c:smooth val="1"/>
        </c:ser>
        <c:ser>
          <c:idx val="2"/>
          <c:order val="1"/>
          <c:tx>
            <c:strRef>
              <c:f>'DOF HF Rechner'!$D$54</c:f>
              <c:strCache>
                <c:ptCount val="1"/>
                <c:pt idx="0">
                  <c:v>Schärfe ab  h(fkd)/2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'DOF HF Rechner'!$D$55:$D$67</c:f>
              <c:numCache/>
            </c:numRef>
          </c:val>
          <c:smooth val="1"/>
        </c:ser>
        <c:axId val="9942060"/>
        <c:axId val="22369677"/>
      </c:lineChart>
      <c:cat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Blende</a:t>
                </a:r>
              </a:p>
            </c:rich>
          </c:tx>
          <c:layout>
            <c:manualLayout>
              <c:xMode val="factor"/>
              <c:yMode val="factor"/>
              <c:x val="0.2642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69677"/>
        <c:crosses val="max"/>
        <c:auto val="0"/>
        <c:lblOffset val="100"/>
        <c:noMultiLvlLbl val="0"/>
      </c:cat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Distanz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19050</xdr:rowOff>
    </xdr:from>
    <xdr:to>
      <xdr:col>9</xdr:col>
      <xdr:colOff>571500</xdr:colOff>
      <xdr:row>78</xdr:row>
      <xdr:rowOff>142875</xdr:rowOff>
    </xdr:to>
    <xdr:graphicFrame>
      <xdr:nvGraphicFramePr>
        <xdr:cNvPr id="1" name="Chart 38"/>
        <xdr:cNvGraphicFramePr/>
      </xdr:nvGraphicFramePr>
      <xdr:xfrm>
        <a:off x="304800" y="9277350"/>
        <a:ext cx="57054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B1:Q91"/>
  <sheetViews>
    <sheetView showGridLines="0" showRowColHeaders="0" showZeros="0" tabSelected="1" showOutlineSymbols="0" workbookViewId="0" topLeftCell="A1">
      <selection activeCell="C5" sqref="C5:D5"/>
    </sheetView>
  </sheetViews>
  <sheetFormatPr defaultColWidth="11.421875" defaultRowHeight="12.75"/>
  <cols>
    <col min="1" max="1" width="4.28125" style="7" customWidth="1"/>
    <col min="2" max="2" width="11.421875" style="7" customWidth="1"/>
    <col min="3" max="3" width="11.8515625" style="7" bestFit="1" customWidth="1"/>
    <col min="4" max="7" width="9.00390625" style="7" customWidth="1"/>
    <col min="8" max="8" width="9.00390625" style="8" customWidth="1"/>
    <col min="9" max="9" width="9.00390625" style="9" customWidth="1"/>
    <col min="10" max="10" width="9.00390625" style="7" customWidth="1"/>
    <col min="11" max="11" width="12.28125" style="3" hidden="1" customWidth="1"/>
    <col min="12" max="12" width="11.57421875" style="3" hidden="1" customWidth="1"/>
    <col min="13" max="17" width="0" style="3" hidden="1" customWidth="1"/>
    <col min="18" max="16384" width="11.421875" style="7" customWidth="1"/>
  </cols>
  <sheetData>
    <row r="1" spans="11:17" ht="12.75">
      <c r="K1" s="10"/>
      <c r="L1" s="10"/>
      <c r="M1" s="10"/>
      <c r="N1" s="10"/>
      <c r="O1" s="10"/>
      <c r="P1" s="10"/>
      <c r="Q1" s="10"/>
    </row>
    <row r="2" spans="2:17" ht="16.5" thickBot="1">
      <c r="B2" s="146" t="s">
        <v>26</v>
      </c>
      <c r="C2" s="147"/>
      <c r="D2" s="147"/>
      <c r="E2" s="147"/>
      <c r="F2" s="147"/>
      <c r="G2" s="147"/>
      <c r="H2" s="147"/>
      <c r="I2" s="147"/>
      <c r="J2" s="147"/>
      <c r="K2" s="11"/>
      <c r="L2" s="11"/>
      <c r="M2" s="11"/>
      <c r="N2" s="11"/>
      <c r="O2" s="11"/>
      <c r="P2" s="11"/>
      <c r="Q2" s="11"/>
    </row>
    <row r="3" spans="2:17" ht="13.5" thickBot="1">
      <c r="B3" s="145" t="s">
        <v>5</v>
      </c>
      <c r="C3" s="135"/>
      <c r="D3" s="135"/>
      <c r="E3" s="135"/>
      <c r="F3" s="135"/>
      <c r="G3" s="135"/>
      <c r="H3" s="135"/>
      <c r="I3" s="135"/>
      <c r="J3" s="136"/>
      <c r="K3" s="11"/>
      <c r="L3" s="11"/>
      <c r="M3" s="11"/>
      <c r="N3" s="11"/>
      <c r="O3" s="11"/>
      <c r="P3" s="11"/>
      <c r="Q3" s="11"/>
    </row>
    <row r="4" spans="2:17" ht="12.75">
      <c r="B4" s="156" t="s">
        <v>12</v>
      </c>
      <c r="C4" s="155"/>
      <c r="D4" s="155"/>
      <c r="E4" s="155"/>
      <c r="F4" s="155"/>
      <c r="G4" s="155"/>
      <c r="H4" s="155"/>
      <c r="I4" s="155"/>
      <c r="J4" s="157"/>
      <c r="K4" s="12" t="s">
        <v>49</v>
      </c>
      <c r="L4" s="13" t="s">
        <v>7</v>
      </c>
      <c r="M4" s="13" t="s">
        <v>50</v>
      </c>
      <c r="N4" s="14" t="s">
        <v>51</v>
      </c>
      <c r="O4" s="15" t="s">
        <v>1</v>
      </c>
      <c r="P4" s="16"/>
      <c r="Q4" s="17"/>
    </row>
    <row r="5" spans="2:17" ht="12.75">
      <c r="B5" s="60" t="s">
        <v>8</v>
      </c>
      <c r="C5" s="154" t="s">
        <v>10</v>
      </c>
      <c r="D5" s="154"/>
      <c r="E5" s="155" t="s">
        <v>84</v>
      </c>
      <c r="F5" s="127"/>
      <c r="G5" s="127"/>
      <c r="H5" s="127"/>
      <c r="I5" s="127"/>
      <c r="J5" s="128"/>
      <c r="K5" s="18" t="s">
        <v>10</v>
      </c>
      <c r="L5" s="19">
        <v>0</v>
      </c>
      <c r="M5" s="19">
        <v>0</v>
      </c>
      <c r="N5" s="20">
        <v>0</v>
      </c>
      <c r="O5" s="21" t="s">
        <v>33</v>
      </c>
      <c r="P5" s="18"/>
      <c r="Q5" s="22"/>
    </row>
    <row r="6" spans="2:17" ht="13.5" thickBot="1">
      <c r="B6" s="61" t="s">
        <v>7</v>
      </c>
      <c r="C6" s="158">
        <f>IF((ROUND(VLOOKUP(C5,K5:L16,2,FALSE),2))&gt;0,(ROUND(VLOOKUP(C5,K5:L16,2,FALSE),2)),"")</f>
      </c>
      <c r="D6" s="132"/>
      <c r="E6" s="132" t="s">
        <v>9</v>
      </c>
      <c r="F6" s="132"/>
      <c r="G6" s="132"/>
      <c r="H6" s="132"/>
      <c r="I6" s="132"/>
      <c r="J6" s="133"/>
      <c r="K6" s="23" t="s">
        <v>15</v>
      </c>
      <c r="L6" s="24">
        <f aca="true" t="shared" si="0" ref="L6:L11">0.6933753*SQRT((M6*M6)+(N6*N6))</f>
        <v>30.00000236748272</v>
      </c>
      <c r="M6" s="25">
        <v>36</v>
      </c>
      <c r="N6" s="26">
        <v>24</v>
      </c>
      <c r="O6" s="27">
        <v>1</v>
      </c>
      <c r="P6" s="18"/>
      <c r="Q6" s="22"/>
    </row>
    <row r="7" spans="2:17" ht="12.75">
      <c r="B7" s="148" t="s">
        <v>11</v>
      </c>
      <c r="C7" s="149"/>
      <c r="D7" s="149"/>
      <c r="E7" s="149"/>
      <c r="F7" s="149"/>
      <c r="G7" s="149"/>
      <c r="H7" s="149"/>
      <c r="I7" s="149"/>
      <c r="J7" s="150"/>
      <c r="K7" s="23" t="s">
        <v>20</v>
      </c>
      <c r="L7" s="24">
        <f t="shared" si="0"/>
        <v>44.39768189067273</v>
      </c>
      <c r="M7" s="25">
        <v>40</v>
      </c>
      <c r="N7" s="26">
        <v>50</v>
      </c>
      <c r="O7" s="27">
        <v>1.4</v>
      </c>
      <c r="P7" s="18"/>
      <c r="Q7" s="22"/>
    </row>
    <row r="8" spans="2:17" ht="15.75">
      <c r="B8" s="60" t="s">
        <v>4</v>
      </c>
      <c r="C8" s="1">
        <f>IF((ROUND(VLOOKUP(C5,K5:N16,3,FALSE),2))&gt;0,(ROUND(VLOOKUP(C5,K5:N16,3,FALSE),2)),"")</f>
      </c>
      <c r="D8" s="129" t="s">
        <v>6</v>
      </c>
      <c r="E8" s="127"/>
      <c r="F8" s="127"/>
      <c r="G8" s="127"/>
      <c r="H8" s="127"/>
      <c r="I8" s="127"/>
      <c r="J8" s="128"/>
      <c r="K8" s="23" t="s">
        <v>24</v>
      </c>
      <c r="L8" s="24">
        <f t="shared" si="0"/>
        <v>52.003147500000004</v>
      </c>
      <c r="M8" s="25">
        <v>45</v>
      </c>
      <c r="N8" s="26">
        <v>60</v>
      </c>
      <c r="O8" s="27">
        <v>2</v>
      </c>
      <c r="P8" s="28" t="b">
        <f>(C8="")</f>
        <v>1</v>
      </c>
      <c r="Q8" s="20"/>
    </row>
    <row r="9" spans="2:17" ht="15.75">
      <c r="B9" s="60" t="s">
        <v>3</v>
      </c>
      <c r="C9" s="1">
        <f>IF((ROUND(VLOOKUP(C5,K5:N16,4,FALSE),2))&gt;0,(ROUND(VLOOKUP(C5,K5:N16,4,FALSE),2)),"")</f>
      </c>
      <c r="D9" s="127" t="s">
        <v>13</v>
      </c>
      <c r="E9" s="127"/>
      <c r="F9" s="127"/>
      <c r="G9" s="127"/>
      <c r="H9" s="127"/>
      <c r="I9" s="127"/>
      <c r="J9" s="128"/>
      <c r="K9" s="23" t="s">
        <v>19</v>
      </c>
      <c r="L9" s="24">
        <f t="shared" si="0"/>
        <v>59.64639862733262</v>
      </c>
      <c r="M9" s="25">
        <v>50</v>
      </c>
      <c r="N9" s="26">
        <v>70</v>
      </c>
      <c r="O9" s="27">
        <v>2.8</v>
      </c>
      <c r="P9" s="29"/>
      <c r="Q9" s="20"/>
    </row>
    <row r="10" spans="2:17" ht="16.5" thickBot="1">
      <c r="B10" s="61" t="s">
        <v>2</v>
      </c>
      <c r="C10" s="2">
        <f>IF(P8=FALSE,SQRT(P10),"")</f>
      </c>
      <c r="D10" s="132" t="s">
        <v>14</v>
      </c>
      <c r="E10" s="132"/>
      <c r="F10" s="132"/>
      <c r="G10" s="132"/>
      <c r="H10" s="132"/>
      <c r="I10" s="132"/>
      <c r="J10" s="133"/>
      <c r="K10" s="23" t="s">
        <v>16</v>
      </c>
      <c r="L10" s="24">
        <f t="shared" si="0"/>
        <v>54.91252217217276</v>
      </c>
      <c r="M10" s="25">
        <v>56</v>
      </c>
      <c r="N10" s="26">
        <v>56</v>
      </c>
      <c r="O10" s="27">
        <v>4</v>
      </c>
      <c r="P10" s="28" t="e">
        <f>C8^2+C9^2</f>
        <v>#VALUE!</v>
      </c>
      <c r="Q10" s="20"/>
    </row>
    <row r="11" spans="2:17" ht="15.75">
      <c r="B11" s="62" t="s">
        <v>32</v>
      </c>
      <c r="C11" s="57" t="s">
        <v>88</v>
      </c>
      <c r="D11" s="130" t="s">
        <v>85</v>
      </c>
      <c r="E11" s="130"/>
      <c r="F11" s="130"/>
      <c r="G11" s="130"/>
      <c r="H11" s="130"/>
      <c r="I11" s="130"/>
      <c r="J11" s="131"/>
      <c r="K11" s="30" t="s">
        <v>18</v>
      </c>
      <c r="L11" s="24">
        <f t="shared" si="0"/>
        <v>61.61684197210825</v>
      </c>
      <c r="M11" s="25">
        <v>56</v>
      </c>
      <c r="N11" s="26">
        <v>69</v>
      </c>
      <c r="O11" s="27">
        <v>5.6</v>
      </c>
      <c r="P11" s="29" t="s">
        <v>28</v>
      </c>
      <c r="Q11" s="20" t="s">
        <v>29</v>
      </c>
    </row>
    <row r="12" spans="2:17" ht="12.75">
      <c r="B12" s="63" t="s">
        <v>53</v>
      </c>
      <c r="C12" s="5">
        <f>IF(C6="","",CONCATENATE(ROUND(C16*C8/C11,1),"m"," x ",(ROUND(C16*C9/C11,1)),"m"))</f>
      </c>
      <c r="D12" s="151" t="s">
        <v>55</v>
      </c>
      <c r="E12" s="152"/>
      <c r="F12" s="152"/>
      <c r="G12" s="152"/>
      <c r="H12" s="152"/>
      <c r="I12" s="152"/>
      <c r="J12" s="153"/>
      <c r="K12" s="30" t="s">
        <v>17</v>
      </c>
      <c r="L12" s="24">
        <f>0.6933753*SQRT((M12*M12)+(N12*N12))</f>
        <v>65.45697870254632</v>
      </c>
      <c r="M12" s="25">
        <v>56</v>
      </c>
      <c r="N12" s="26">
        <v>76</v>
      </c>
      <c r="O12" s="27">
        <v>8</v>
      </c>
      <c r="P12" s="31" t="e">
        <f>DEGREES(2*ATAN(C8/($C$11*2)))</f>
        <v>#VALUE!</v>
      </c>
      <c r="Q12" s="32" t="e">
        <f>DEGREES(2*ATAN(C9/($C$11*2)))</f>
        <v>#VALUE!</v>
      </c>
    </row>
    <row r="13" spans="2:17" ht="15.75">
      <c r="B13" s="64" t="s">
        <v>30</v>
      </c>
      <c r="C13" s="4">
        <f>IF(C6="","",CONCATENATE(ROUND(P12,0),"°"," x ",ROUND(Q12,0),"°"))</f>
      </c>
      <c r="D13" s="134" t="s">
        <v>54</v>
      </c>
      <c r="E13" s="127"/>
      <c r="F13" s="127"/>
      <c r="G13" s="127"/>
      <c r="H13" s="127"/>
      <c r="I13" s="127"/>
      <c r="J13" s="128"/>
      <c r="K13" s="23" t="s">
        <v>21</v>
      </c>
      <c r="L13" s="24">
        <f>0.6933753*SQRT((M13*M13)+(N13*N13))</f>
        <v>72.90998713228556</v>
      </c>
      <c r="M13" s="25">
        <v>56</v>
      </c>
      <c r="N13" s="26">
        <v>89</v>
      </c>
      <c r="O13" s="27">
        <v>11</v>
      </c>
      <c r="P13" s="18"/>
      <c r="Q13" s="22"/>
    </row>
    <row r="14" spans="2:17" ht="16.5" thickBot="1">
      <c r="B14" s="65" t="s">
        <v>31</v>
      </c>
      <c r="C14" s="66">
        <f>IF(C6="","",ROUND(DEGREES(ATAN(C10/2/C11))*2,0))</f>
      </c>
      <c r="D14" s="132" t="s">
        <v>27</v>
      </c>
      <c r="E14" s="132"/>
      <c r="F14" s="132"/>
      <c r="G14" s="132"/>
      <c r="H14" s="132"/>
      <c r="I14" s="132"/>
      <c r="J14" s="133"/>
      <c r="K14" s="23" t="s">
        <v>25</v>
      </c>
      <c r="L14" s="24">
        <f>0.6933753*SQRT((M14*M14)+(N14*N14))</f>
        <v>83.07203276467594</v>
      </c>
      <c r="M14" s="25">
        <v>73</v>
      </c>
      <c r="N14" s="26">
        <v>95</v>
      </c>
      <c r="O14" s="27">
        <v>16</v>
      </c>
      <c r="P14" s="18"/>
      <c r="Q14" s="22"/>
    </row>
    <row r="15" spans="2:17" ht="12.75">
      <c r="B15" s="62" t="s">
        <v>1</v>
      </c>
      <c r="C15" s="58" t="s">
        <v>33</v>
      </c>
      <c r="D15" s="130" t="s">
        <v>86</v>
      </c>
      <c r="E15" s="130"/>
      <c r="F15" s="130"/>
      <c r="G15" s="130"/>
      <c r="H15" s="130"/>
      <c r="I15" s="130"/>
      <c r="J15" s="131"/>
      <c r="K15" s="23" t="s">
        <v>22</v>
      </c>
      <c r="L15" s="24">
        <f>0.6933753*SQRT((M15*M15)+(N15*N15))</f>
        <v>112.77011200230872</v>
      </c>
      <c r="M15" s="25">
        <v>101.6</v>
      </c>
      <c r="N15" s="26">
        <v>127</v>
      </c>
      <c r="O15" s="27">
        <v>22</v>
      </c>
      <c r="P15" s="18"/>
      <c r="Q15" s="22"/>
    </row>
    <row r="16" spans="2:17" ht="13.5" thickBot="1">
      <c r="B16" s="65" t="s">
        <v>34</v>
      </c>
      <c r="C16" s="59" t="s">
        <v>88</v>
      </c>
      <c r="D16" s="141" t="s">
        <v>87</v>
      </c>
      <c r="E16" s="141"/>
      <c r="F16" s="141"/>
      <c r="G16" s="141"/>
      <c r="H16" s="141"/>
      <c r="I16" s="141"/>
      <c r="J16" s="142"/>
      <c r="K16" s="33" t="s">
        <v>23</v>
      </c>
      <c r="L16" s="34">
        <f>0.6933753*SQRT((M16*M16)+(N16*N16))</f>
        <v>225.54022400461744</v>
      </c>
      <c r="M16" s="35">
        <v>203.2</v>
      </c>
      <c r="N16" s="36">
        <v>254</v>
      </c>
      <c r="O16" s="27">
        <v>32</v>
      </c>
      <c r="P16" s="18"/>
      <c r="Q16" s="22"/>
    </row>
    <row r="17" spans="2:17" ht="13.5" thickBot="1">
      <c r="B17" s="137" t="s">
        <v>47</v>
      </c>
      <c r="C17" s="138"/>
      <c r="D17" s="138"/>
      <c r="E17" s="138"/>
      <c r="F17" s="138"/>
      <c r="G17" s="138"/>
      <c r="H17" s="139"/>
      <c r="I17" s="139"/>
      <c r="J17" s="140"/>
      <c r="K17" s="37"/>
      <c r="L17" s="38"/>
      <c r="M17" s="39"/>
      <c r="N17" s="40"/>
      <c r="O17" s="27">
        <v>45</v>
      </c>
      <c r="P17" s="18"/>
      <c r="Q17" s="22"/>
    </row>
    <row r="18" spans="2:17" ht="16.5" thickBot="1">
      <c r="B18" s="62" t="s">
        <v>40</v>
      </c>
      <c r="C18" s="67">
        <f>IF(C6="","",IF(C16="","",M21))</f>
      </c>
      <c r="D18" s="135" t="s">
        <v>39</v>
      </c>
      <c r="E18" s="135"/>
      <c r="F18" s="135"/>
      <c r="G18" s="135"/>
      <c r="H18" s="135"/>
      <c r="I18" s="135"/>
      <c r="J18" s="136"/>
      <c r="K18" s="41" t="s">
        <v>0</v>
      </c>
      <c r="L18" s="42" t="s">
        <v>7</v>
      </c>
      <c r="M18" s="43" t="e">
        <f>C6*0.000001</f>
        <v>#VALUE!</v>
      </c>
      <c r="N18" s="44" t="s">
        <v>35</v>
      </c>
      <c r="O18" s="45">
        <v>64</v>
      </c>
      <c r="P18" s="18"/>
      <c r="Q18" s="22"/>
    </row>
    <row r="19" spans="2:17" ht="15.75">
      <c r="B19" s="64" t="s">
        <v>46</v>
      </c>
      <c r="C19" s="68">
        <f>IF(C6="","",IF(C16="","",O20))</f>
      </c>
      <c r="D19" s="127" t="s">
        <v>45</v>
      </c>
      <c r="E19" s="127"/>
      <c r="F19" s="127"/>
      <c r="G19" s="127"/>
      <c r="H19" s="127"/>
      <c r="I19" s="127"/>
      <c r="J19" s="128"/>
      <c r="K19" s="41" t="s">
        <v>0</v>
      </c>
      <c r="L19" s="19" t="s">
        <v>52</v>
      </c>
      <c r="M19" s="46" t="e">
        <f>C11*0.001</f>
        <v>#VALUE!</v>
      </c>
      <c r="N19" s="44" t="s">
        <v>35</v>
      </c>
      <c r="O19" s="22"/>
      <c r="P19" s="18"/>
      <c r="Q19" s="22"/>
    </row>
    <row r="20" spans="2:17" ht="15.75">
      <c r="B20" s="64" t="s">
        <v>41</v>
      </c>
      <c r="C20" s="143">
        <f>IF(C6="","",CONCATENATE(ROUND(M22,2)," m"," bis ",O21," m"))</f>
      </c>
      <c r="D20" s="143"/>
      <c r="E20" s="127" t="s">
        <v>43</v>
      </c>
      <c r="F20" s="127"/>
      <c r="G20" s="127"/>
      <c r="H20" s="127"/>
      <c r="I20" s="127"/>
      <c r="J20" s="128"/>
      <c r="K20" s="41" t="s">
        <v>0</v>
      </c>
      <c r="L20" s="19" t="s">
        <v>34</v>
      </c>
      <c r="M20" s="46" t="str">
        <f>C16</f>
        <v>eingeben</v>
      </c>
      <c r="N20" s="44" t="s">
        <v>35</v>
      </c>
      <c r="O20" s="47" t="e">
        <f>IF(M23="∞","∞",M23-M22)</f>
        <v>#VALUE!</v>
      </c>
      <c r="P20" s="18"/>
      <c r="Q20" s="22"/>
    </row>
    <row r="21" spans="2:17" ht="16.5" thickBot="1">
      <c r="B21" s="65" t="s">
        <v>42</v>
      </c>
      <c r="C21" s="144">
        <f>IF(C6="","",CONCATENATE(ROUND(O22,2)," m"," bis ",O23," m"))</f>
      </c>
      <c r="D21" s="144"/>
      <c r="E21" s="132" t="s">
        <v>44</v>
      </c>
      <c r="F21" s="132"/>
      <c r="G21" s="132"/>
      <c r="H21" s="132"/>
      <c r="I21" s="132"/>
      <c r="J21" s="133"/>
      <c r="K21" s="41" t="s">
        <v>0</v>
      </c>
      <c r="L21" s="19" t="s">
        <v>36</v>
      </c>
      <c r="M21" s="48" t="e">
        <f>((M19*M19)/(C15*M18))+M19</f>
        <v>#VALUE!</v>
      </c>
      <c r="N21" s="44" t="s">
        <v>35</v>
      </c>
      <c r="O21" s="47" t="e">
        <f>IF(M23="∞","∞",ROUND(M23,2))</f>
        <v>#VALUE!</v>
      </c>
      <c r="P21" s="18"/>
      <c r="Q21" s="22"/>
    </row>
    <row r="22" spans="2:17" ht="13.5" thickBot="1">
      <c r="B22" s="69" t="s">
        <v>48</v>
      </c>
      <c r="C22" s="70"/>
      <c r="D22" s="70"/>
      <c r="E22" s="70"/>
      <c r="F22" s="70"/>
      <c r="G22" s="70"/>
      <c r="H22" s="71"/>
      <c r="I22" s="72"/>
      <c r="J22" s="6"/>
      <c r="K22" s="41" t="s">
        <v>0</v>
      </c>
      <c r="L22" s="19" t="s">
        <v>37</v>
      </c>
      <c r="M22" s="46" t="e">
        <f>(M20*(M21-M19))/(M21+M20-(2*M19))</f>
        <v>#VALUE!</v>
      </c>
      <c r="N22" s="44" t="s">
        <v>35</v>
      </c>
      <c r="O22" s="47" t="e">
        <f>IF(M22="∞","∞",ROUND(C16-M22,2))</f>
        <v>#VALUE!</v>
      </c>
      <c r="P22" s="18"/>
      <c r="Q22" s="22"/>
    </row>
    <row r="23" spans="2:17" ht="13.5" thickBot="1">
      <c r="B23" s="167" t="s">
        <v>59</v>
      </c>
      <c r="C23" s="168"/>
      <c r="D23" s="73">
        <v>1</v>
      </c>
      <c r="E23" s="163" t="s">
        <v>60</v>
      </c>
      <c r="F23" s="164"/>
      <c r="G23" s="74">
        <v>2</v>
      </c>
      <c r="H23" s="163" t="s">
        <v>61</v>
      </c>
      <c r="I23" s="165"/>
      <c r="J23" s="166"/>
      <c r="K23" s="49" t="s">
        <v>0</v>
      </c>
      <c r="L23" s="50" t="s">
        <v>38</v>
      </c>
      <c r="M23" s="51" t="e">
        <f>IF(M21-M20&gt;0,(M20*(M21-M19)/(M21-M20)),"∞")</f>
        <v>#VALUE!</v>
      </c>
      <c r="N23" s="52" t="s">
        <v>35</v>
      </c>
      <c r="O23" s="53" t="e">
        <f>IF(M23="∞","∞",ROUND(M23-C16,2))</f>
        <v>#VALUE!</v>
      </c>
      <c r="P23" s="54"/>
      <c r="Q23" s="55"/>
    </row>
    <row r="24" spans="2:17" ht="12.75">
      <c r="B24" s="169" t="s">
        <v>56</v>
      </c>
      <c r="C24" s="170"/>
      <c r="D24" s="75">
        <f aca="true" t="shared" si="1" ref="D24:J24">IF($C$6="","",ROUND(DEGREES(ATAN(D$26*($C$10/2/$C$11)))*2,0))</f>
      </c>
      <c r="E24" s="76">
        <f t="shared" si="1"/>
      </c>
      <c r="F24" s="76">
        <f t="shared" si="1"/>
      </c>
      <c r="G24" s="76">
        <f t="shared" si="1"/>
      </c>
      <c r="H24" s="76">
        <f t="shared" si="1"/>
      </c>
      <c r="I24" s="76">
        <f t="shared" si="1"/>
      </c>
      <c r="J24" s="77">
        <f t="shared" si="1"/>
      </c>
      <c r="K24" s="11"/>
      <c r="L24" s="11"/>
      <c r="M24" s="11"/>
      <c r="N24" s="11"/>
      <c r="O24" s="11"/>
      <c r="P24" s="11"/>
      <c r="Q24" s="11"/>
    </row>
    <row r="25" spans="2:17" ht="13.5" thickBot="1">
      <c r="B25" s="171" t="s">
        <v>57</v>
      </c>
      <c r="C25" s="172"/>
      <c r="D25" s="78">
        <f>IF(D24="","",CONCATENATE(ROUND(D$26*$C$8/$C$11,1),"x",(ROUND(D$26*$C$9/$C$11,1))))</f>
      </c>
      <c r="E25" s="79">
        <f aca="true" t="shared" si="2" ref="E25:J25">IF(E24="","",CONCATENATE(ROUND(E$26*$C$8/$C$11,1),"x",(ROUND(E$26*$C$9/$C$11,1))))</f>
      </c>
      <c r="F25" s="79">
        <f t="shared" si="2"/>
      </c>
      <c r="G25" s="79">
        <f t="shared" si="2"/>
      </c>
      <c r="H25" s="79">
        <f t="shared" si="2"/>
      </c>
      <c r="I25" s="79">
        <f t="shared" si="2"/>
      </c>
      <c r="J25" s="80">
        <f t="shared" si="2"/>
      </c>
      <c r="K25" s="11"/>
      <c r="L25" s="11" t="s">
        <v>0</v>
      </c>
      <c r="M25" s="11"/>
      <c r="N25" s="11"/>
      <c r="O25" s="11"/>
      <c r="P25" s="11"/>
      <c r="Q25" s="11"/>
    </row>
    <row r="26" spans="2:17" ht="13.5" thickBot="1">
      <c r="B26" s="81" t="s">
        <v>1</v>
      </c>
      <c r="C26" s="82" t="s">
        <v>58</v>
      </c>
      <c r="D26" s="83">
        <f>D23^G23</f>
        <v>1</v>
      </c>
      <c r="E26" s="84">
        <f>D26*G23</f>
        <v>2</v>
      </c>
      <c r="F26" s="84">
        <f>E26*G23</f>
        <v>4</v>
      </c>
      <c r="G26" s="84">
        <f>F26*G23</f>
        <v>8</v>
      </c>
      <c r="H26" s="84">
        <f>G26*G23</f>
        <v>16</v>
      </c>
      <c r="I26" s="84">
        <f>H26*G23</f>
        <v>32</v>
      </c>
      <c r="J26" s="84">
        <f>I26*G23</f>
        <v>64</v>
      </c>
      <c r="K26" s="11"/>
      <c r="L26" s="11"/>
      <c r="M26" s="11"/>
      <c r="N26" s="11"/>
      <c r="O26" s="11"/>
      <c r="P26" s="11"/>
      <c r="Q26" s="11"/>
    </row>
    <row r="27" spans="2:17" ht="12.75">
      <c r="B27" s="159">
        <v>1</v>
      </c>
      <c r="C27" s="161">
        <f>IF(C6="","",(($M$19*$M$19)/($B27*$M$18))+$M$19)</f>
      </c>
      <c r="D27" s="85" t="e">
        <f aca="true" t="shared" si="3" ref="D27:J27">D$26-((D$26*($C27-$M$19))/($C27+D$26-(2*$M$19)))</f>
        <v>#VALUE!</v>
      </c>
      <c r="E27" s="86" t="e">
        <f t="shared" si="3"/>
        <v>#VALUE!</v>
      </c>
      <c r="F27" s="86" t="e">
        <f t="shared" si="3"/>
        <v>#VALUE!</v>
      </c>
      <c r="G27" s="86" t="e">
        <f t="shared" si="3"/>
        <v>#VALUE!</v>
      </c>
      <c r="H27" s="86" t="e">
        <f t="shared" si="3"/>
        <v>#VALUE!</v>
      </c>
      <c r="I27" s="86" t="e">
        <f t="shared" si="3"/>
        <v>#VALUE!</v>
      </c>
      <c r="J27" s="87" t="e">
        <f t="shared" si="3"/>
        <v>#VALUE!</v>
      </c>
      <c r="K27" s="11"/>
      <c r="L27" s="11"/>
      <c r="M27" s="11"/>
      <c r="N27" s="11"/>
      <c r="O27" s="56"/>
      <c r="P27" s="11"/>
      <c r="Q27" s="11"/>
    </row>
    <row r="28" spans="2:17" ht="13.5" thickBot="1">
      <c r="B28" s="160"/>
      <c r="C28" s="162"/>
      <c r="D28" s="88" t="e">
        <f aca="true" t="shared" si="4" ref="D28:J28">IF(D$26&gt;=$C27,"∞",((D$26*($C27-$M$19))/($C27-D$26))-D$26)</f>
        <v>#VALUE!</v>
      </c>
      <c r="E28" s="89" t="e">
        <f t="shared" si="4"/>
        <v>#VALUE!</v>
      </c>
      <c r="F28" s="89" t="e">
        <f t="shared" si="4"/>
        <v>#VALUE!</v>
      </c>
      <c r="G28" s="89" t="e">
        <f t="shared" si="4"/>
        <v>#VALUE!</v>
      </c>
      <c r="H28" s="89" t="e">
        <f t="shared" si="4"/>
        <v>#VALUE!</v>
      </c>
      <c r="I28" s="89" t="e">
        <f t="shared" si="4"/>
        <v>#VALUE!</v>
      </c>
      <c r="J28" s="90" t="e">
        <f t="shared" si="4"/>
        <v>#VALUE!</v>
      </c>
      <c r="K28" s="11"/>
      <c r="L28" s="11"/>
      <c r="M28" s="11"/>
      <c r="N28" s="11"/>
      <c r="O28" s="56"/>
      <c r="P28" s="11"/>
      <c r="Q28" s="11"/>
    </row>
    <row r="29" spans="2:17" ht="12.75">
      <c r="B29" s="159">
        <v>1.4</v>
      </c>
      <c r="C29" s="161">
        <f>IF(C6="","",(($M$19*$M$19)/($B29*$M$18))+$M$19)</f>
      </c>
      <c r="D29" s="85" t="e">
        <f aca="true" t="shared" si="5" ref="D29:J29">D$26-((D$26*($C29-$M$19))/($C29+D$26-(2*$M$19)))</f>
        <v>#VALUE!</v>
      </c>
      <c r="E29" s="86" t="e">
        <f t="shared" si="5"/>
        <v>#VALUE!</v>
      </c>
      <c r="F29" s="86" t="e">
        <f t="shared" si="5"/>
        <v>#VALUE!</v>
      </c>
      <c r="G29" s="86" t="e">
        <f t="shared" si="5"/>
        <v>#VALUE!</v>
      </c>
      <c r="H29" s="86" t="e">
        <f t="shared" si="5"/>
        <v>#VALUE!</v>
      </c>
      <c r="I29" s="86" t="e">
        <f t="shared" si="5"/>
        <v>#VALUE!</v>
      </c>
      <c r="J29" s="87" t="e">
        <f t="shared" si="5"/>
        <v>#VALUE!</v>
      </c>
      <c r="K29" s="11"/>
      <c r="L29" s="11"/>
      <c r="M29" s="11"/>
      <c r="N29" s="11"/>
      <c r="O29" s="56"/>
      <c r="P29" s="11"/>
      <c r="Q29" s="11"/>
    </row>
    <row r="30" spans="2:17" ht="13.5" thickBot="1">
      <c r="B30" s="160"/>
      <c r="C30" s="162"/>
      <c r="D30" s="88" t="e">
        <f aca="true" t="shared" si="6" ref="D30:J30">IF(D$26&gt;=$C29,"∞",((D$26*($C29-$M$19))/($C29-D$26))-D$26)</f>
        <v>#VALUE!</v>
      </c>
      <c r="E30" s="89" t="e">
        <f t="shared" si="6"/>
        <v>#VALUE!</v>
      </c>
      <c r="F30" s="89" t="e">
        <f t="shared" si="6"/>
        <v>#VALUE!</v>
      </c>
      <c r="G30" s="89" t="e">
        <f t="shared" si="6"/>
        <v>#VALUE!</v>
      </c>
      <c r="H30" s="89" t="e">
        <f t="shared" si="6"/>
        <v>#VALUE!</v>
      </c>
      <c r="I30" s="89" t="e">
        <f t="shared" si="6"/>
        <v>#VALUE!</v>
      </c>
      <c r="J30" s="90" t="e">
        <f t="shared" si="6"/>
        <v>#VALUE!</v>
      </c>
      <c r="K30" s="11"/>
      <c r="L30" s="11"/>
      <c r="M30" s="11"/>
      <c r="N30" s="11"/>
      <c r="O30" s="56"/>
      <c r="P30" s="11"/>
      <c r="Q30" s="11"/>
    </row>
    <row r="31" spans="2:17" ht="12.75">
      <c r="B31" s="159">
        <v>2</v>
      </c>
      <c r="C31" s="161">
        <f>IF(C6="","",(($M$19*$M$19)/($B31*$M$18))+$M$19)</f>
      </c>
      <c r="D31" s="85" t="e">
        <f aca="true" t="shared" si="7" ref="D31:J31">D$26-((D$26*($C31-$M$19))/($C31+D$26-(2*$M$19)))</f>
        <v>#VALUE!</v>
      </c>
      <c r="E31" s="86" t="e">
        <f t="shared" si="7"/>
        <v>#VALUE!</v>
      </c>
      <c r="F31" s="86" t="e">
        <f t="shared" si="7"/>
        <v>#VALUE!</v>
      </c>
      <c r="G31" s="86" t="e">
        <f t="shared" si="7"/>
        <v>#VALUE!</v>
      </c>
      <c r="H31" s="86" t="e">
        <f t="shared" si="7"/>
        <v>#VALUE!</v>
      </c>
      <c r="I31" s="86" t="e">
        <f t="shared" si="7"/>
        <v>#VALUE!</v>
      </c>
      <c r="J31" s="87" t="e">
        <f t="shared" si="7"/>
        <v>#VALUE!</v>
      </c>
      <c r="K31" s="11"/>
      <c r="L31" s="11"/>
      <c r="M31" s="11"/>
      <c r="N31" s="11"/>
      <c r="O31" s="56"/>
      <c r="P31" s="11"/>
      <c r="Q31" s="11"/>
    </row>
    <row r="32" spans="2:17" ht="13.5" thickBot="1">
      <c r="B32" s="160"/>
      <c r="C32" s="162"/>
      <c r="D32" s="88" t="e">
        <f aca="true" t="shared" si="8" ref="D32:J32">IF(D$26&gt;=$C31,"∞",((D$26*($C31-$M$19))/($C31-D$26))-D$26)</f>
        <v>#VALUE!</v>
      </c>
      <c r="E32" s="89" t="e">
        <f t="shared" si="8"/>
        <v>#VALUE!</v>
      </c>
      <c r="F32" s="89" t="e">
        <f t="shared" si="8"/>
        <v>#VALUE!</v>
      </c>
      <c r="G32" s="89" t="e">
        <f t="shared" si="8"/>
        <v>#VALUE!</v>
      </c>
      <c r="H32" s="89" t="e">
        <f t="shared" si="8"/>
        <v>#VALUE!</v>
      </c>
      <c r="I32" s="89" t="e">
        <f t="shared" si="8"/>
        <v>#VALUE!</v>
      </c>
      <c r="J32" s="90" t="e">
        <f t="shared" si="8"/>
        <v>#VALUE!</v>
      </c>
      <c r="K32" s="11"/>
      <c r="L32" s="11"/>
      <c r="M32" s="11"/>
      <c r="N32" s="11"/>
      <c r="O32" s="56"/>
      <c r="P32" s="11"/>
      <c r="Q32" s="11"/>
    </row>
    <row r="33" spans="2:17" ht="12.75">
      <c r="B33" s="159">
        <v>2.8</v>
      </c>
      <c r="C33" s="161">
        <f>IF(C6="","",(($M$19*$M$19)/($B33*$M$18))+$M$19)</f>
      </c>
      <c r="D33" s="85" t="e">
        <f aca="true" t="shared" si="9" ref="D33:J33">D$26-((D$26*($C33-$M$19))/($C33+D$26-(2*$M$19)))</f>
        <v>#VALUE!</v>
      </c>
      <c r="E33" s="86" t="e">
        <f t="shared" si="9"/>
        <v>#VALUE!</v>
      </c>
      <c r="F33" s="86" t="e">
        <f t="shared" si="9"/>
        <v>#VALUE!</v>
      </c>
      <c r="G33" s="86" t="e">
        <f t="shared" si="9"/>
        <v>#VALUE!</v>
      </c>
      <c r="H33" s="86" t="e">
        <f t="shared" si="9"/>
        <v>#VALUE!</v>
      </c>
      <c r="I33" s="86" t="e">
        <f t="shared" si="9"/>
        <v>#VALUE!</v>
      </c>
      <c r="J33" s="87" t="e">
        <f t="shared" si="9"/>
        <v>#VALUE!</v>
      </c>
      <c r="K33" s="11"/>
      <c r="L33" s="11"/>
      <c r="M33" s="11"/>
      <c r="N33" s="11"/>
      <c r="O33" s="56"/>
      <c r="P33" s="11"/>
      <c r="Q33" s="11"/>
    </row>
    <row r="34" spans="2:17" ht="13.5" thickBot="1">
      <c r="B34" s="160"/>
      <c r="C34" s="162"/>
      <c r="D34" s="88" t="e">
        <f aca="true" t="shared" si="10" ref="D34:J34">IF(D$26&gt;=$C33,"∞",((D$26*($C33-$M$19))/($C33-D$26))-D$26)</f>
        <v>#VALUE!</v>
      </c>
      <c r="E34" s="89" t="e">
        <f t="shared" si="10"/>
        <v>#VALUE!</v>
      </c>
      <c r="F34" s="89" t="e">
        <f t="shared" si="10"/>
        <v>#VALUE!</v>
      </c>
      <c r="G34" s="89" t="e">
        <f t="shared" si="10"/>
        <v>#VALUE!</v>
      </c>
      <c r="H34" s="89" t="e">
        <f t="shared" si="10"/>
        <v>#VALUE!</v>
      </c>
      <c r="I34" s="89" t="e">
        <f t="shared" si="10"/>
        <v>#VALUE!</v>
      </c>
      <c r="J34" s="90" t="e">
        <f t="shared" si="10"/>
        <v>#VALUE!</v>
      </c>
      <c r="K34" s="11"/>
      <c r="L34" s="11"/>
      <c r="M34" s="11"/>
      <c r="N34" s="11"/>
      <c r="O34" s="56"/>
      <c r="P34" s="11"/>
      <c r="Q34" s="11"/>
    </row>
    <row r="35" spans="2:17" ht="12.75">
      <c r="B35" s="159">
        <v>4</v>
      </c>
      <c r="C35" s="161">
        <f>IF(C6="","",(($M$19*$M$19)/($B35*$M$18))+$M$19)</f>
      </c>
      <c r="D35" s="85" t="e">
        <f aca="true" t="shared" si="11" ref="D35:J35">D$26-((D$26*($C35-$M$19))/($C35+D$26-(2*$M$19)))</f>
        <v>#VALUE!</v>
      </c>
      <c r="E35" s="86" t="e">
        <f t="shared" si="11"/>
        <v>#VALUE!</v>
      </c>
      <c r="F35" s="86" t="e">
        <f t="shared" si="11"/>
        <v>#VALUE!</v>
      </c>
      <c r="G35" s="86" t="e">
        <f t="shared" si="11"/>
        <v>#VALUE!</v>
      </c>
      <c r="H35" s="86" t="e">
        <f t="shared" si="11"/>
        <v>#VALUE!</v>
      </c>
      <c r="I35" s="86" t="e">
        <f t="shared" si="11"/>
        <v>#VALUE!</v>
      </c>
      <c r="J35" s="87" t="e">
        <f t="shared" si="11"/>
        <v>#VALUE!</v>
      </c>
      <c r="K35" s="11"/>
      <c r="L35" s="11"/>
      <c r="M35" s="11"/>
      <c r="N35" s="11"/>
      <c r="O35" s="56"/>
      <c r="P35" s="11"/>
      <c r="Q35" s="11"/>
    </row>
    <row r="36" spans="2:17" ht="13.5" thickBot="1">
      <c r="B36" s="160"/>
      <c r="C36" s="162"/>
      <c r="D36" s="88" t="e">
        <f aca="true" t="shared" si="12" ref="D36:J36">IF(D$26&gt;=$C35,"∞",((D$26*($C35-$M$19))/($C35-D$26))-D$26)</f>
        <v>#VALUE!</v>
      </c>
      <c r="E36" s="89" t="e">
        <f t="shared" si="12"/>
        <v>#VALUE!</v>
      </c>
      <c r="F36" s="89" t="e">
        <f t="shared" si="12"/>
        <v>#VALUE!</v>
      </c>
      <c r="G36" s="89" t="e">
        <f t="shared" si="12"/>
        <v>#VALUE!</v>
      </c>
      <c r="H36" s="89" t="e">
        <f t="shared" si="12"/>
        <v>#VALUE!</v>
      </c>
      <c r="I36" s="89" t="e">
        <f t="shared" si="12"/>
        <v>#VALUE!</v>
      </c>
      <c r="J36" s="90" t="e">
        <f t="shared" si="12"/>
        <v>#VALUE!</v>
      </c>
      <c r="K36" s="11"/>
      <c r="L36" s="11"/>
      <c r="M36" s="11"/>
      <c r="N36" s="11"/>
      <c r="O36" s="56"/>
      <c r="P36" s="11"/>
      <c r="Q36" s="11"/>
    </row>
    <row r="37" spans="2:17" ht="12.75">
      <c r="B37" s="159">
        <v>5.6</v>
      </c>
      <c r="C37" s="161">
        <f>IF(C6="","",(($M$19*$M$19)/($B37*$M$18))+$M$19)</f>
      </c>
      <c r="D37" s="85" t="e">
        <f aca="true" t="shared" si="13" ref="D37:J37">D$26-((D$26*($C37-$M$19))/($C37+D$26-(2*$M$19)))</f>
        <v>#VALUE!</v>
      </c>
      <c r="E37" s="86" t="e">
        <f t="shared" si="13"/>
        <v>#VALUE!</v>
      </c>
      <c r="F37" s="86" t="e">
        <f t="shared" si="13"/>
        <v>#VALUE!</v>
      </c>
      <c r="G37" s="86" t="e">
        <f t="shared" si="13"/>
        <v>#VALUE!</v>
      </c>
      <c r="H37" s="86" t="e">
        <f t="shared" si="13"/>
        <v>#VALUE!</v>
      </c>
      <c r="I37" s="86" t="e">
        <f t="shared" si="13"/>
        <v>#VALUE!</v>
      </c>
      <c r="J37" s="87" t="e">
        <f t="shared" si="13"/>
        <v>#VALUE!</v>
      </c>
      <c r="K37" s="11"/>
      <c r="L37" s="11"/>
      <c r="M37" s="11"/>
      <c r="N37" s="11"/>
      <c r="O37" s="56"/>
      <c r="P37" s="11"/>
      <c r="Q37" s="11"/>
    </row>
    <row r="38" spans="2:17" ht="13.5" thickBot="1">
      <c r="B38" s="160"/>
      <c r="C38" s="162"/>
      <c r="D38" s="88" t="e">
        <f aca="true" t="shared" si="14" ref="D38:J38">IF(D$26&gt;=$C37,"∞",((D$26*($C37-$M$19))/($C37-D$26))-D$26)</f>
        <v>#VALUE!</v>
      </c>
      <c r="E38" s="89" t="e">
        <f t="shared" si="14"/>
        <v>#VALUE!</v>
      </c>
      <c r="F38" s="89" t="e">
        <f t="shared" si="14"/>
        <v>#VALUE!</v>
      </c>
      <c r="G38" s="89" t="e">
        <f t="shared" si="14"/>
        <v>#VALUE!</v>
      </c>
      <c r="H38" s="89" t="e">
        <f t="shared" si="14"/>
        <v>#VALUE!</v>
      </c>
      <c r="I38" s="89" t="e">
        <f t="shared" si="14"/>
        <v>#VALUE!</v>
      </c>
      <c r="J38" s="90" t="e">
        <f t="shared" si="14"/>
        <v>#VALUE!</v>
      </c>
      <c r="K38" s="56"/>
      <c r="L38" s="56"/>
      <c r="M38" s="56"/>
      <c r="N38" s="56"/>
      <c r="O38" s="56"/>
      <c r="P38" s="11"/>
      <c r="Q38" s="11"/>
    </row>
    <row r="39" spans="2:17" ht="12.75">
      <c r="B39" s="159">
        <v>8</v>
      </c>
      <c r="C39" s="161">
        <f>IF(C6="","",(($M$19*$M$19)/($B39*$M$18))+$M$19)</f>
      </c>
      <c r="D39" s="85" t="e">
        <f aca="true" t="shared" si="15" ref="D39:J39">D$26-((D$26*($C39-$M$19))/($C39+D$26-(2*$M$19)))</f>
        <v>#VALUE!</v>
      </c>
      <c r="E39" s="86" t="e">
        <f t="shared" si="15"/>
        <v>#VALUE!</v>
      </c>
      <c r="F39" s="86" t="e">
        <f t="shared" si="15"/>
        <v>#VALUE!</v>
      </c>
      <c r="G39" s="86" t="e">
        <f t="shared" si="15"/>
        <v>#VALUE!</v>
      </c>
      <c r="H39" s="86" t="e">
        <f t="shared" si="15"/>
        <v>#VALUE!</v>
      </c>
      <c r="I39" s="86" t="e">
        <f t="shared" si="15"/>
        <v>#VALUE!</v>
      </c>
      <c r="J39" s="87" t="e">
        <f t="shared" si="15"/>
        <v>#VALUE!</v>
      </c>
      <c r="K39" s="56"/>
      <c r="L39" s="56"/>
      <c r="M39" s="56"/>
      <c r="N39" s="56"/>
      <c r="O39" s="56"/>
      <c r="P39" s="11"/>
      <c r="Q39" s="11"/>
    </row>
    <row r="40" spans="2:17" ht="13.5" thickBot="1">
      <c r="B40" s="160"/>
      <c r="C40" s="162"/>
      <c r="D40" s="88" t="e">
        <f aca="true" t="shared" si="16" ref="D40:J40">IF(D$26&gt;=$C39,"∞",((D$26*($C39-$M$19))/($C39-D$26))-D$26)</f>
        <v>#VALUE!</v>
      </c>
      <c r="E40" s="89" t="e">
        <f t="shared" si="16"/>
        <v>#VALUE!</v>
      </c>
      <c r="F40" s="89" t="e">
        <f t="shared" si="16"/>
        <v>#VALUE!</v>
      </c>
      <c r="G40" s="89" t="e">
        <f t="shared" si="16"/>
        <v>#VALUE!</v>
      </c>
      <c r="H40" s="89" t="e">
        <f t="shared" si="16"/>
        <v>#VALUE!</v>
      </c>
      <c r="I40" s="89" t="e">
        <f t="shared" si="16"/>
        <v>#VALUE!</v>
      </c>
      <c r="J40" s="90" t="e">
        <f t="shared" si="16"/>
        <v>#VALUE!</v>
      </c>
      <c r="K40" s="56"/>
      <c r="L40" s="56"/>
      <c r="M40" s="56"/>
      <c r="N40" s="56"/>
      <c r="O40" s="56"/>
      <c r="P40" s="11"/>
      <c r="Q40" s="11"/>
    </row>
    <row r="41" spans="2:17" ht="12.75">
      <c r="B41" s="159">
        <v>11</v>
      </c>
      <c r="C41" s="161">
        <f>IF(C6="","",(($M$19*$M$19)/($B41*$M$18))+$M$19)</f>
      </c>
      <c r="D41" s="85" t="e">
        <f aca="true" t="shared" si="17" ref="D41:J41">D$26-((D$26*($C41-$M$19))/($C41+D$26-(2*$M$19)))</f>
        <v>#VALUE!</v>
      </c>
      <c r="E41" s="86" t="e">
        <f t="shared" si="17"/>
        <v>#VALUE!</v>
      </c>
      <c r="F41" s="86" t="e">
        <f t="shared" si="17"/>
        <v>#VALUE!</v>
      </c>
      <c r="G41" s="86" t="e">
        <f t="shared" si="17"/>
        <v>#VALUE!</v>
      </c>
      <c r="H41" s="86" t="e">
        <f t="shared" si="17"/>
        <v>#VALUE!</v>
      </c>
      <c r="I41" s="86" t="e">
        <f t="shared" si="17"/>
        <v>#VALUE!</v>
      </c>
      <c r="J41" s="87" t="e">
        <f t="shared" si="17"/>
        <v>#VALUE!</v>
      </c>
      <c r="K41" s="56"/>
      <c r="L41" s="56"/>
      <c r="M41" s="56"/>
      <c r="N41" s="56"/>
      <c r="O41" s="56"/>
      <c r="P41" s="11"/>
      <c r="Q41" s="11"/>
    </row>
    <row r="42" spans="2:17" ht="13.5" thickBot="1">
      <c r="B42" s="160"/>
      <c r="C42" s="162"/>
      <c r="D42" s="88" t="e">
        <f aca="true" t="shared" si="18" ref="D42:J42">IF(D$26&gt;=$C41,"∞",((D$26*($C41-$M$19))/($C41-D$26))-D$26)</f>
        <v>#VALUE!</v>
      </c>
      <c r="E42" s="89" t="e">
        <f t="shared" si="18"/>
        <v>#VALUE!</v>
      </c>
      <c r="F42" s="89" t="e">
        <f t="shared" si="18"/>
        <v>#VALUE!</v>
      </c>
      <c r="G42" s="89" t="e">
        <f t="shared" si="18"/>
        <v>#VALUE!</v>
      </c>
      <c r="H42" s="89" t="e">
        <f t="shared" si="18"/>
        <v>#VALUE!</v>
      </c>
      <c r="I42" s="89" t="e">
        <f t="shared" si="18"/>
        <v>#VALUE!</v>
      </c>
      <c r="J42" s="90" t="e">
        <f t="shared" si="18"/>
        <v>#VALUE!</v>
      </c>
      <c r="K42" s="56"/>
      <c r="L42" s="56"/>
      <c r="M42" s="56"/>
      <c r="N42" s="56"/>
      <c r="O42" s="56"/>
      <c r="P42" s="11"/>
      <c r="Q42" s="11"/>
    </row>
    <row r="43" spans="2:17" ht="12.75">
      <c r="B43" s="159">
        <v>16</v>
      </c>
      <c r="C43" s="161">
        <f>IF(C6="","",(($M$19*$M$19)/($B43*$M$18))+$M$19)</f>
      </c>
      <c r="D43" s="85" t="e">
        <f aca="true" t="shared" si="19" ref="D43:J43">D$26-((D$26*($C43-$M$19))/($C43+D$26-(2*$M$19)))</f>
        <v>#VALUE!</v>
      </c>
      <c r="E43" s="86" t="e">
        <f t="shared" si="19"/>
        <v>#VALUE!</v>
      </c>
      <c r="F43" s="86" t="e">
        <f t="shared" si="19"/>
        <v>#VALUE!</v>
      </c>
      <c r="G43" s="86" t="e">
        <f t="shared" si="19"/>
        <v>#VALUE!</v>
      </c>
      <c r="H43" s="86" t="e">
        <f t="shared" si="19"/>
        <v>#VALUE!</v>
      </c>
      <c r="I43" s="86" t="e">
        <f t="shared" si="19"/>
        <v>#VALUE!</v>
      </c>
      <c r="J43" s="87" t="e">
        <f t="shared" si="19"/>
        <v>#VALUE!</v>
      </c>
      <c r="K43" s="56"/>
      <c r="L43" s="56"/>
      <c r="M43" s="56"/>
      <c r="N43" s="56"/>
      <c r="O43" s="56"/>
      <c r="P43" s="11"/>
      <c r="Q43" s="11"/>
    </row>
    <row r="44" spans="2:17" ht="13.5" thickBot="1">
      <c r="B44" s="160"/>
      <c r="C44" s="162"/>
      <c r="D44" s="88" t="e">
        <f aca="true" t="shared" si="20" ref="D44:J44">IF(D$26&gt;=$C43,"∞",((D$26*($C43-$M$19))/($C43-D$26))-D$26)</f>
        <v>#VALUE!</v>
      </c>
      <c r="E44" s="89" t="e">
        <f t="shared" si="20"/>
        <v>#VALUE!</v>
      </c>
      <c r="F44" s="89" t="e">
        <f t="shared" si="20"/>
        <v>#VALUE!</v>
      </c>
      <c r="G44" s="89" t="e">
        <f t="shared" si="20"/>
        <v>#VALUE!</v>
      </c>
      <c r="H44" s="89" t="e">
        <f t="shared" si="20"/>
        <v>#VALUE!</v>
      </c>
      <c r="I44" s="89" t="e">
        <f t="shared" si="20"/>
        <v>#VALUE!</v>
      </c>
      <c r="J44" s="90" t="e">
        <f t="shared" si="20"/>
        <v>#VALUE!</v>
      </c>
      <c r="K44" s="11"/>
      <c r="L44" s="11"/>
      <c r="M44" s="11"/>
      <c r="N44" s="11"/>
      <c r="O44" s="11"/>
      <c r="P44" s="11"/>
      <c r="Q44" s="11"/>
    </row>
    <row r="45" spans="2:17" ht="12.75">
      <c r="B45" s="159">
        <v>22</v>
      </c>
      <c r="C45" s="161">
        <f>IF(C6="","",(($M$19*$M$19)/($B45*$M$18))+$M$19)</f>
      </c>
      <c r="D45" s="85" t="e">
        <f aca="true" t="shared" si="21" ref="D45:J45">D$26-((D$26*($C45-$M$19))/($C45+D$26-(2*$M$19)))</f>
        <v>#VALUE!</v>
      </c>
      <c r="E45" s="86" t="e">
        <f t="shared" si="21"/>
        <v>#VALUE!</v>
      </c>
      <c r="F45" s="86" t="e">
        <f t="shared" si="21"/>
        <v>#VALUE!</v>
      </c>
      <c r="G45" s="86" t="e">
        <f t="shared" si="21"/>
        <v>#VALUE!</v>
      </c>
      <c r="H45" s="86" t="e">
        <f t="shared" si="21"/>
        <v>#VALUE!</v>
      </c>
      <c r="I45" s="86" t="e">
        <f t="shared" si="21"/>
        <v>#VALUE!</v>
      </c>
      <c r="J45" s="87" t="e">
        <f t="shared" si="21"/>
        <v>#VALUE!</v>
      </c>
      <c r="K45" s="11"/>
      <c r="L45" s="11"/>
      <c r="M45" s="11"/>
      <c r="N45" s="11"/>
      <c r="O45" s="11"/>
      <c r="P45" s="11"/>
      <c r="Q45" s="11"/>
    </row>
    <row r="46" spans="2:17" ht="13.5" thickBot="1">
      <c r="B46" s="160"/>
      <c r="C46" s="162"/>
      <c r="D46" s="88" t="e">
        <f aca="true" t="shared" si="22" ref="D46:J46">IF(D$26&gt;=$C45,"∞",((D$26*($C45-$M$19))/($C45-D$26))-D$26)</f>
        <v>#VALUE!</v>
      </c>
      <c r="E46" s="89" t="e">
        <f t="shared" si="22"/>
        <v>#VALUE!</v>
      </c>
      <c r="F46" s="89" t="e">
        <f t="shared" si="22"/>
        <v>#VALUE!</v>
      </c>
      <c r="G46" s="89" t="e">
        <f t="shared" si="22"/>
        <v>#VALUE!</v>
      </c>
      <c r="H46" s="89" t="e">
        <f t="shared" si="22"/>
        <v>#VALUE!</v>
      </c>
      <c r="I46" s="89" t="e">
        <f t="shared" si="22"/>
        <v>#VALUE!</v>
      </c>
      <c r="J46" s="90" t="e">
        <f t="shared" si="22"/>
        <v>#VALUE!</v>
      </c>
      <c r="K46" s="11"/>
      <c r="L46" s="11"/>
      <c r="M46" s="11"/>
      <c r="N46" s="11"/>
      <c r="O46" s="11"/>
      <c r="P46" s="11"/>
      <c r="Q46" s="11"/>
    </row>
    <row r="47" spans="2:17" ht="12.75">
      <c r="B47" s="159">
        <v>32</v>
      </c>
      <c r="C47" s="161">
        <f>IF(C6="","",(($M$19*$M$19)/($B47*$M$18))+$M$19)</f>
      </c>
      <c r="D47" s="85" t="e">
        <f aca="true" t="shared" si="23" ref="D47:J47">D$26-((D$26*($C47-$M$19))/($C47+D$26-(2*$M$19)))</f>
        <v>#VALUE!</v>
      </c>
      <c r="E47" s="86" t="e">
        <f t="shared" si="23"/>
        <v>#VALUE!</v>
      </c>
      <c r="F47" s="86" t="e">
        <f t="shared" si="23"/>
        <v>#VALUE!</v>
      </c>
      <c r="G47" s="86" t="e">
        <f t="shared" si="23"/>
        <v>#VALUE!</v>
      </c>
      <c r="H47" s="86" t="e">
        <f t="shared" si="23"/>
        <v>#VALUE!</v>
      </c>
      <c r="I47" s="86" t="e">
        <f t="shared" si="23"/>
        <v>#VALUE!</v>
      </c>
      <c r="J47" s="87" t="e">
        <f t="shared" si="23"/>
        <v>#VALUE!</v>
      </c>
      <c r="K47" s="11"/>
      <c r="L47" s="11"/>
      <c r="M47" s="11"/>
      <c r="N47" s="11"/>
      <c r="O47" s="11"/>
      <c r="P47" s="11"/>
      <c r="Q47" s="11"/>
    </row>
    <row r="48" spans="2:17" ht="13.5" thickBot="1">
      <c r="B48" s="160"/>
      <c r="C48" s="162"/>
      <c r="D48" s="88" t="e">
        <f aca="true" t="shared" si="24" ref="D48:J48">IF(D$26&gt;=$C47,"∞",((D$26*($C47-$M$19))/($C47-D$26))-D$26)</f>
        <v>#VALUE!</v>
      </c>
      <c r="E48" s="89" t="e">
        <f t="shared" si="24"/>
        <v>#VALUE!</v>
      </c>
      <c r="F48" s="89" t="e">
        <f t="shared" si="24"/>
        <v>#VALUE!</v>
      </c>
      <c r="G48" s="89" t="e">
        <f t="shared" si="24"/>
        <v>#VALUE!</v>
      </c>
      <c r="H48" s="89" t="e">
        <f t="shared" si="24"/>
        <v>#VALUE!</v>
      </c>
      <c r="I48" s="89" t="e">
        <f t="shared" si="24"/>
        <v>#VALUE!</v>
      </c>
      <c r="J48" s="90" t="e">
        <f t="shared" si="24"/>
        <v>#VALUE!</v>
      </c>
      <c r="K48" s="11"/>
      <c r="L48" s="11"/>
      <c r="M48" s="11"/>
      <c r="N48" s="11"/>
      <c r="O48" s="11"/>
      <c r="P48" s="11"/>
      <c r="Q48" s="11"/>
    </row>
    <row r="49" spans="2:17" ht="12.75">
      <c r="B49" s="159">
        <v>45</v>
      </c>
      <c r="C49" s="161">
        <f>IF(C6="","",(($M$19*$M$19)/($B49*$M$18))+$M$19)</f>
      </c>
      <c r="D49" s="85" t="e">
        <f aca="true" t="shared" si="25" ref="D49:J49">D$26-((D$26*($C49-$M$19))/($C49+D$26-(2*$M$19)))</f>
        <v>#VALUE!</v>
      </c>
      <c r="E49" s="86" t="e">
        <f t="shared" si="25"/>
        <v>#VALUE!</v>
      </c>
      <c r="F49" s="86" t="e">
        <f t="shared" si="25"/>
        <v>#VALUE!</v>
      </c>
      <c r="G49" s="86" t="e">
        <f t="shared" si="25"/>
        <v>#VALUE!</v>
      </c>
      <c r="H49" s="86" t="e">
        <f t="shared" si="25"/>
        <v>#VALUE!</v>
      </c>
      <c r="I49" s="86" t="e">
        <f t="shared" si="25"/>
        <v>#VALUE!</v>
      </c>
      <c r="J49" s="87" t="e">
        <f t="shared" si="25"/>
        <v>#VALUE!</v>
      </c>
      <c r="K49" s="11"/>
      <c r="L49" s="11"/>
      <c r="M49" s="11"/>
      <c r="N49" s="11"/>
      <c r="O49" s="11"/>
      <c r="P49" s="11"/>
      <c r="Q49" s="11"/>
    </row>
    <row r="50" spans="2:17" ht="13.5" thickBot="1">
      <c r="B50" s="160"/>
      <c r="C50" s="162"/>
      <c r="D50" s="88" t="e">
        <f aca="true" t="shared" si="26" ref="D50:J50">IF(D$26&gt;=$C49,"∞",((D$26*($C49-$M$19))/($C49-D$26))-D$26)</f>
        <v>#VALUE!</v>
      </c>
      <c r="E50" s="89" t="e">
        <f t="shared" si="26"/>
        <v>#VALUE!</v>
      </c>
      <c r="F50" s="89" t="e">
        <f t="shared" si="26"/>
        <v>#VALUE!</v>
      </c>
      <c r="G50" s="89" t="e">
        <f t="shared" si="26"/>
        <v>#VALUE!</v>
      </c>
      <c r="H50" s="89" t="e">
        <f t="shared" si="26"/>
        <v>#VALUE!</v>
      </c>
      <c r="I50" s="89" t="e">
        <f t="shared" si="26"/>
        <v>#VALUE!</v>
      </c>
      <c r="J50" s="90" t="e">
        <f t="shared" si="26"/>
        <v>#VALUE!</v>
      </c>
      <c r="K50" s="11"/>
      <c r="L50" s="11"/>
      <c r="M50" s="11"/>
      <c r="N50" s="11"/>
      <c r="O50" s="11"/>
      <c r="P50" s="11"/>
      <c r="Q50" s="11"/>
    </row>
    <row r="51" spans="2:17" ht="12.75">
      <c r="B51" s="159">
        <v>64</v>
      </c>
      <c r="C51" s="161">
        <f>IF(C6="","",(($M$19*$M$19)/($B51*$M$18))+$M$19)</f>
      </c>
      <c r="D51" s="85" t="e">
        <f aca="true" t="shared" si="27" ref="D51:J51">D$26-((D$26*($C51-$M$19))/($C51+D$26-(2*$M$19)))</f>
        <v>#VALUE!</v>
      </c>
      <c r="E51" s="86" t="e">
        <f t="shared" si="27"/>
        <v>#VALUE!</v>
      </c>
      <c r="F51" s="86" t="e">
        <f t="shared" si="27"/>
        <v>#VALUE!</v>
      </c>
      <c r="G51" s="86" t="e">
        <f t="shared" si="27"/>
        <v>#VALUE!</v>
      </c>
      <c r="H51" s="86" t="e">
        <f t="shared" si="27"/>
        <v>#VALUE!</v>
      </c>
      <c r="I51" s="86" t="e">
        <f t="shared" si="27"/>
        <v>#VALUE!</v>
      </c>
      <c r="J51" s="87" t="e">
        <f t="shared" si="27"/>
        <v>#VALUE!</v>
      </c>
      <c r="K51" s="11"/>
      <c r="L51" s="11"/>
      <c r="M51" s="11"/>
      <c r="N51" s="11"/>
      <c r="O51" s="11"/>
      <c r="P51" s="11"/>
      <c r="Q51" s="11"/>
    </row>
    <row r="52" spans="2:17" ht="13.5" thickBot="1">
      <c r="B52" s="160"/>
      <c r="C52" s="162"/>
      <c r="D52" s="88" t="e">
        <f aca="true" t="shared" si="28" ref="D52:J52">IF(D$26&gt;=$C51,"∞",((D$26*($C51-$M$19))/($C51-D$26))-D$26)</f>
        <v>#VALUE!</v>
      </c>
      <c r="E52" s="89" t="e">
        <f t="shared" si="28"/>
        <v>#VALUE!</v>
      </c>
      <c r="F52" s="89" t="e">
        <f t="shared" si="28"/>
        <v>#VALUE!</v>
      </c>
      <c r="G52" s="89" t="e">
        <f t="shared" si="28"/>
        <v>#VALUE!</v>
      </c>
      <c r="H52" s="89" t="e">
        <f t="shared" si="28"/>
        <v>#VALUE!</v>
      </c>
      <c r="I52" s="89" t="e">
        <f t="shared" si="28"/>
        <v>#VALUE!</v>
      </c>
      <c r="J52" s="90" t="e">
        <f t="shared" si="28"/>
        <v>#VALUE!</v>
      </c>
      <c r="K52" s="11"/>
      <c r="L52" s="11"/>
      <c r="M52" s="11"/>
      <c r="N52" s="11"/>
      <c r="O52" s="11"/>
      <c r="P52" s="11"/>
      <c r="Q52" s="11"/>
    </row>
    <row r="53" spans="2:17" ht="13.5" thickBot="1">
      <c r="B53" s="91" t="s">
        <v>62</v>
      </c>
      <c r="C53" s="92"/>
      <c r="D53" s="92"/>
      <c r="E53" s="92"/>
      <c r="F53" s="92"/>
      <c r="G53" s="92"/>
      <c r="H53" s="93"/>
      <c r="I53" s="94"/>
      <c r="J53" s="95"/>
      <c r="K53" s="11"/>
      <c r="L53" s="11"/>
      <c r="M53" s="11"/>
      <c r="N53" s="11"/>
      <c r="O53" s="11"/>
      <c r="P53" s="11"/>
      <c r="Q53" s="11"/>
    </row>
    <row r="54" spans="2:17" ht="12.75">
      <c r="B54" s="96" t="s">
        <v>63</v>
      </c>
      <c r="C54" s="97" t="s">
        <v>64</v>
      </c>
      <c r="D54" s="98" t="s">
        <v>65</v>
      </c>
      <c r="E54" s="99"/>
      <c r="F54" s="99"/>
      <c r="G54" s="99"/>
      <c r="H54" s="97"/>
      <c r="I54" s="100"/>
      <c r="J54" s="101"/>
      <c r="K54" s="11"/>
      <c r="L54" s="11"/>
      <c r="M54" s="11"/>
      <c r="N54" s="11"/>
      <c r="O54" s="11"/>
      <c r="P54" s="11"/>
      <c r="Q54" s="11"/>
    </row>
    <row r="55" spans="2:17" ht="12.75">
      <c r="B55" s="102">
        <f>B27</f>
        <v>1</v>
      </c>
      <c r="C55" s="103">
        <f>C27</f>
      </c>
      <c r="D55" s="104" t="e">
        <f>C27/2</f>
        <v>#VALUE!</v>
      </c>
      <c r="E55" s="105"/>
      <c r="F55" s="105"/>
      <c r="G55" s="105"/>
      <c r="H55" s="106"/>
      <c r="I55" s="107"/>
      <c r="J55" s="108"/>
      <c r="K55" s="11"/>
      <c r="L55" s="11"/>
      <c r="M55" s="11"/>
      <c r="N55" s="11"/>
      <c r="O55" s="11"/>
      <c r="P55" s="11"/>
      <c r="Q55" s="11"/>
    </row>
    <row r="56" spans="2:17" ht="12.75">
      <c r="B56" s="102">
        <f>B29</f>
        <v>1.4</v>
      </c>
      <c r="C56" s="103">
        <f>C29</f>
      </c>
      <c r="D56" s="104" t="e">
        <f>C29/2</f>
        <v>#VALUE!</v>
      </c>
      <c r="E56" s="105"/>
      <c r="F56" s="105"/>
      <c r="G56" s="105"/>
      <c r="H56" s="106"/>
      <c r="I56" s="107"/>
      <c r="J56" s="108"/>
      <c r="K56" s="11"/>
      <c r="L56" s="11"/>
      <c r="M56" s="11"/>
      <c r="N56" s="11"/>
      <c r="O56" s="11"/>
      <c r="P56" s="11"/>
      <c r="Q56" s="11"/>
    </row>
    <row r="57" spans="2:17" ht="12.75">
      <c r="B57" s="102">
        <f>B31</f>
        <v>2</v>
      </c>
      <c r="C57" s="103">
        <f>C31</f>
      </c>
      <c r="D57" s="104" t="e">
        <f>C31/2</f>
        <v>#VALUE!</v>
      </c>
      <c r="E57" s="105"/>
      <c r="F57" s="105"/>
      <c r="G57" s="105"/>
      <c r="H57" s="106"/>
      <c r="I57" s="107"/>
      <c r="J57" s="108"/>
      <c r="K57" s="11"/>
      <c r="L57" s="11"/>
      <c r="M57" s="11"/>
      <c r="N57" s="11"/>
      <c r="O57" s="11"/>
      <c r="P57" s="11"/>
      <c r="Q57" s="11"/>
    </row>
    <row r="58" spans="2:17" ht="12.75">
      <c r="B58" s="102">
        <f>B33</f>
        <v>2.8</v>
      </c>
      <c r="C58" s="103">
        <f>C33</f>
      </c>
      <c r="D58" s="104" t="e">
        <f>C33/2</f>
        <v>#VALUE!</v>
      </c>
      <c r="E58" s="105"/>
      <c r="F58" s="105"/>
      <c r="G58" s="105"/>
      <c r="H58" s="106"/>
      <c r="I58" s="107"/>
      <c r="J58" s="108"/>
      <c r="K58" s="11"/>
      <c r="L58" s="11"/>
      <c r="M58" s="11"/>
      <c r="N58" s="11"/>
      <c r="O58" s="11"/>
      <c r="P58" s="11"/>
      <c r="Q58" s="11"/>
    </row>
    <row r="59" spans="2:17" ht="12.75">
      <c r="B59" s="102">
        <f>B35</f>
        <v>4</v>
      </c>
      <c r="C59" s="103">
        <f>C35</f>
      </c>
      <c r="D59" s="104" t="e">
        <f>C35/2</f>
        <v>#VALUE!</v>
      </c>
      <c r="E59" s="105"/>
      <c r="F59" s="105"/>
      <c r="G59" s="105"/>
      <c r="H59" s="106"/>
      <c r="I59" s="107"/>
      <c r="J59" s="108"/>
      <c r="K59" s="11"/>
      <c r="L59" s="11"/>
      <c r="M59" s="11"/>
      <c r="N59" s="11"/>
      <c r="O59" s="11"/>
      <c r="P59" s="11"/>
      <c r="Q59" s="11"/>
    </row>
    <row r="60" spans="2:17" ht="12.75">
      <c r="B60" s="102">
        <f>B37</f>
        <v>5.6</v>
      </c>
      <c r="C60" s="103">
        <f>C37</f>
      </c>
      <c r="D60" s="104" t="e">
        <f>C37/2</f>
        <v>#VALUE!</v>
      </c>
      <c r="E60" s="105"/>
      <c r="F60" s="105"/>
      <c r="G60" s="105"/>
      <c r="H60" s="106"/>
      <c r="I60" s="107"/>
      <c r="J60" s="108"/>
      <c r="K60" s="11"/>
      <c r="L60" s="11"/>
      <c r="M60" s="11"/>
      <c r="N60" s="11"/>
      <c r="O60" s="11"/>
      <c r="P60" s="11"/>
      <c r="Q60" s="11"/>
    </row>
    <row r="61" spans="2:17" ht="12.75">
      <c r="B61" s="102">
        <f>B39</f>
        <v>8</v>
      </c>
      <c r="C61" s="103">
        <f>C39</f>
      </c>
      <c r="D61" s="104" t="e">
        <f>C39/2</f>
        <v>#VALUE!</v>
      </c>
      <c r="E61" s="105"/>
      <c r="F61" s="105"/>
      <c r="G61" s="105"/>
      <c r="H61" s="106"/>
      <c r="I61" s="107"/>
      <c r="J61" s="108"/>
      <c r="K61" s="11"/>
      <c r="L61" s="11"/>
      <c r="M61" s="11"/>
      <c r="N61" s="11"/>
      <c r="O61" s="11"/>
      <c r="P61" s="11"/>
      <c r="Q61" s="11"/>
    </row>
    <row r="62" spans="2:17" ht="12.75">
      <c r="B62" s="102">
        <f>B41</f>
        <v>11</v>
      </c>
      <c r="C62" s="103">
        <f>C41</f>
      </c>
      <c r="D62" s="104" t="e">
        <f>C41/2</f>
        <v>#VALUE!</v>
      </c>
      <c r="E62" s="105"/>
      <c r="F62" s="105"/>
      <c r="G62" s="105"/>
      <c r="H62" s="106"/>
      <c r="I62" s="107"/>
      <c r="J62" s="108"/>
      <c r="K62" s="11"/>
      <c r="L62" s="11"/>
      <c r="M62" s="11"/>
      <c r="N62" s="11"/>
      <c r="O62" s="11"/>
      <c r="P62" s="11"/>
      <c r="Q62" s="11"/>
    </row>
    <row r="63" spans="2:17" ht="12.75">
      <c r="B63" s="102">
        <f>B43</f>
        <v>16</v>
      </c>
      <c r="C63" s="103">
        <f>C43</f>
      </c>
      <c r="D63" s="104" t="e">
        <f>C43/2</f>
        <v>#VALUE!</v>
      </c>
      <c r="E63" s="105"/>
      <c r="F63" s="105"/>
      <c r="G63" s="105"/>
      <c r="H63" s="106"/>
      <c r="I63" s="107"/>
      <c r="J63" s="108"/>
      <c r="K63" s="11"/>
      <c r="L63" s="11"/>
      <c r="M63" s="11"/>
      <c r="N63" s="11"/>
      <c r="O63" s="11"/>
      <c r="P63" s="11"/>
      <c r="Q63" s="11"/>
    </row>
    <row r="64" spans="2:17" ht="12.75">
      <c r="B64" s="102">
        <f>B45</f>
        <v>22</v>
      </c>
      <c r="C64" s="103">
        <f>C45</f>
      </c>
      <c r="D64" s="104" t="e">
        <f>C45/2</f>
        <v>#VALUE!</v>
      </c>
      <c r="E64" s="105"/>
      <c r="F64" s="105"/>
      <c r="G64" s="105"/>
      <c r="H64" s="106"/>
      <c r="I64" s="107"/>
      <c r="J64" s="108"/>
      <c r="K64" s="11"/>
      <c r="L64" s="11"/>
      <c r="M64" s="11"/>
      <c r="N64" s="11"/>
      <c r="O64" s="11"/>
      <c r="P64" s="11"/>
      <c r="Q64" s="11"/>
    </row>
    <row r="65" spans="2:17" ht="12.75">
      <c r="B65" s="102">
        <f>B47</f>
        <v>32</v>
      </c>
      <c r="C65" s="103">
        <f>C47</f>
      </c>
      <c r="D65" s="104" t="e">
        <f>C47/2</f>
        <v>#VALUE!</v>
      </c>
      <c r="E65" s="105"/>
      <c r="F65" s="105"/>
      <c r="G65" s="105"/>
      <c r="H65" s="106"/>
      <c r="I65" s="107"/>
      <c r="J65" s="108"/>
      <c r="K65" s="11"/>
      <c r="L65" s="11"/>
      <c r="M65" s="11"/>
      <c r="N65" s="11"/>
      <c r="O65" s="11"/>
      <c r="P65" s="11"/>
      <c r="Q65" s="11"/>
    </row>
    <row r="66" spans="2:17" ht="12.75">
      <c r="B66" s="102">
        <f>B49</f>
        <v>45</v>
      </c>
      <c r="C66" s="103">
        <f>C49</f>
      </c>
      <c r="D66" s="104" t="e">
        <f>C49/2</f>
        <v>#VALUE!</v>
      </c>
      <c r="E66" s="105"/>
      <c r="F66" s="105"/>
      <c r="G66" s="105"/>
      <c r="H66" s="106"/>
      <c r="I66" s="107"/>
      <c r="J66" s="108"/>
      <c r="K66" s="11"/>
      <c r="L66" s="11"/>
      <c r="M66" s="11"/>
      <c r="N66" s="11"/>
      <c r="O66" s="11"/>
      <c r="P66" s="11"/>
      <c r="Q66" s="11"/>
    </row>
    <row r="67" spans="2:17" ht="12.75">
      <c r="B67" s="102">
        <f>B51</f>
        <v>64</v>
      </c>
      <c r="C67" s="103">
        <f>C51</f>
      </c>
      <c r="D67" s="104" t="e">
        <f>C51/2</f>
        <v>#VALUE!</v>
      </c>
      <c r="E67" s="105"/>
      <c r="F67" s="105"/>
      <c r="G67" s="105"/>
      <c r="H67" s="106"/>
      <c r="I67" s="107"/>
      <c r="J67" s="108"/>
      <c r="K67" s="11"/>
      <c r="L67" s="11"/>
      <c r="M67" s="11"/>
      <c r="N67" s="11"/>
      <c r="O67" s="11"/>
      <c r="P67" s="11"/>
      <c r="Q67" s="11"/>
    </row>
    <row r="68" spans="2:10" ht="12.75">
      <c r="B68" s="109"/>
      <c r="C68" s="105"/>
      <c r="D68" s="110"/>
      <c r="E68" s="105"/>
      <c r="F68" s="105"/>
      <c r="G68" s="105"/>
      <c r="H68" s="106"/>
      <c r="I68" s="107"/>
      <c r="J68" s="108"/>
    </row>
    <row r="69" spans="2:10" ht="12.75">
      <c r="B69" s="109"/>
      <c r="C69" s="111"/>
      <c r="D69" s="105"/>
      <c r="E69" s="105"/>
      <c r="F69" s="105"/>
      <c r="G69" s="105"/>
      <c r="H69" s="106"/>
      <c r="I69" s="107"/>
      <c r="J69" s="108"/>
    </row>
    <row r="70" spans="2:10" ht="12.75">
      <c r="B70" s="109"/>
      <c r="C70" s="112" t="s">
        <v>0</v>
      </c>
      <c r="D70" s="110"/>
      <c r="E70" s="105"/>
      <c r="F70" s="105"/>
      <c r="G70" s="105"/>
      <c r="H70" s="106"/>
      <c r="I70" s="107"/>
      <c r="J70" s="108"/>
    </row>
    <row r="71" spans="2:10" ht="12.75">
      <c r="B71" s="109"/>
      <c r="C71" s="105"/>
      <c r="D71" s="105"/>
      <c r="E71" s="105"/>
      <c r="F71" s="105"/>
      <c r="G71" s="105"/>
      <c r="H71" s="106"/>
      <c r="I71" s="107"/>
      <c r="J71" s="108"/>
    </row>
    <row r="72" spans="2:10" ht="12.75">
      <c r="B72" s="109"/>
      <c r="C72" s="105"/>
      <c r="D72" s="110"/>
      <c r="E72" s="105"/>
      <c r="F72" s="105"/>
      <c r="G72" s="105"/>
      <c r="H72" s="106"/>
      <c r="I72" s="107"/>
      <c r="J72" s="108"/>
    </row>
    <row r="73" spans="2:10" ht="12.75">
      <c r="B73" s="109"/>
      <c r="C73" s="105"/>
      <c r="D73" s="105"/>
      <c r="E73" s="105"/>
      <c r="F73" s="105"/>
      <c r="G73" s="105"/>
      <c r="H73" s="106"/>
      <c r="I73" s="107"/>
      <c r="J73" s="108"/>
    </row>
    <row r="74" spans="2:10" ht="12.75">
      <c r="B74" s="109"/>
      <c r="C74" s="105"/>
      <c r="D74" s="110"/>
      <c r="E74" s="105"/>
      <c r="F74" s="105"/>
      <c r="G74" s="105"/>
      <c r="H74" s="106"/>
      <c r="I74" s="107"/>
      <c r="J74" s="108"/>
    </row>
    <row r="75" spans="2:10" ht="12.75">
      <c r="B75" s="109"/>
      <c r="C75" s="105"/>
      <c r="D75" s="105"/>
      <c r="E75" s="105"/>
      <c r="F75" s="105"/>
      <c r="G75" s="105"/>
      <c r="H75" s="106"/>
      <c r="I75" s="107"/>
      <c r="J75" s="108"/>
    </row>
    <row r="76" spans="2:10" ht="12.75">
      <c r="B76" s="109"/>
      <c r="C76" s="105"/>
      <c r="D76" s="110"/>
      <c r="E76" s="105"/>
      <c r="F76" s="105"/>
      <c r="G76" s="105"/>
      <c r="H76" s="106"/>
      <c r="I76" s="107"/>
      <c r="J76" s="108"/>
    </row>
    <row r="77" spans="2:10" ht="12.75">
      <c r="B77" s="109"/>
      <c r="C77" s="105"/>
      <c r="D77" s="105"/>
      <c r="E77" s="105"/>
      <c r="F77" s="105"/>
      <c r="G77" s="105"/>
      <c r="H77" s="106"/>
      <c r="I77" s="107"/>
      <c r="J77" s="108"/>
    </row>
    <row r="78" spans="2:10" ht="12.75">
      <c r="B78" s="109"/>
      <c r="C78" s="105"/>
      <c r="D78" s="110"/>
      <c r="E78" s="105"/>
      <c r="F78" s="105"/>
      <c r="G78" s="105"/>
      <c r="H78" s="106"/>
      <c r="I78" s="107"/>
      <c r="J78" s="108"/>
    </row>
    <row r="79" spans="2:10" ht="13.5" thickBot="1">
      <c r="B79" s="113"/>
      <c r="C79" s="114"/>
      <c r="D79" s="114"/>
      <c r="E79" s="114"/>
      <c r="F79" s="114"/>
      <c r="G79" s="114"/>
      <c r="H79" s="115"/>
      <c r="I79" s="116"/>
      <c r="J79" s="117"/>
    </row>
    <row r="80" spans="2:10" ht="13.5" thickBot="1">
      <c r="B80" s="91" t="s">
        <v>83</v>
      </c>
      <c r="C80" s="92"/>
      <c r="D80" s="118"/>
      <c r="E80" s="92"/>
      <c r="F80" s="92"/>
      <c r="G80" s="92"/>
      <c r="H80" s="93"/>
      <c r="I80" s="94"/>
      <c r="J80" s="95"/>
    </row>
    <row r="81" spans="2:10" ht="12.75">
      <c r="B81" s="119"/>
      <c r="C81" s="120" t="s">
        <v>68</v>
      </c>
      <c r="D81" s="98"/>
      <c r="E81" s="121"/>
      <c r="F81" s="121"/>
      <c r="G81" s="99"/>
      <c r="H81" s="97"/>
      <c r="I81" s="100"/>
      <c r="J81" s="101"/>
    </row>
    <row r="82" spans="2:10" ht="15.75">
      <c r="B82" s="109"/>
      <c r="C82" s="122" t="s">
        <v>69</v>
      </c>
      <c r="D82" s="123" t="s">
        <v>67</v>
      </c>
      <c r="E82" s="123"/>
      <c r="F82" s="123"/>
      <c r="G82" s="105"/>
      <c r="H82" s="106"/>
      <c r="I82" s="107"/>
      <c r="J82" s="108"/>
    </row>
    <row r="83" spans="2:10" ht="15.75">
      <c r="B83" s="109"/>
      <c r="C83" s="122" t="s">
        <v>70</v>
      </c>
      <c r="D83" s="123" t="s">
        <v>66</v>
      </c>
      <c r="E83" s="123"/>
      <c r="F83" s="123"/>
      <c r="G83" s="105"/>
      <c r="H83" s="106"/>
      <c r="I83" s="107"/>
      <c r="J83" s="108"/>
    </row>
    <row r="84" spans="2:10" ht="12.75">
      <c r="B84" s="109"/>
      <c r="C84" s="124" t="s">
        <v>73</v>
      </c>
      <c r="D84" s="123"/>
      <c r="E84" s="123"/>
      <c r="F84" s="123"/>
      <c r="G84" s="105"/>
      <c r="H84" s="106"/>
      <c r="I84" s="107"/>
      <c r="J84" s="108"/>
    </row>
    <row r="85" spans="2:10" ht="15.75">
      <c r="B85" s="109"/>
      <c r="C85" s="122" t="s">
        <v>71</v>
      </c>
      <c r="D85" s="123" t="s">
        <v>72</v>
      </c>
      <c r="E85" s="123"/>
      <c r="F85" s="123"/>
      <c r="G85" s="105"/>
      <c r="H85" s="106"/>
      <c r="I85" s="107"/>
      <c r="J85" s="108"/>
    </row>
    <row r="86" spans="2:10" ht="12.75">
      <c r="B86" s="109"/>
      <c r="C86" s="124" t="s">
        <v>74</v>
      </c>
      <c r="D86" s="123"/>
      <c r="E86" s="123"/>
      <c r="F86" s="123" t="s">
        <v>0</v>
      </c>
      <c r="G86" s="105"/>
      <c r="H86" s="106"/>
      <c r="I86" s="107"/>
      <c r="J86" s="108"/>
    </row>
    <row r="87" spans="2:10" ht="15.75">
      <c r="B87" s="109"/>
      <c r="C87" s="122" t="s">
        <v>76</v>
      </c>
      <c r="D87" s="123" t="s">
        <v>78</v>
      </c>
      <c r="E87" s="123"/>
      <c r="F87" s="123"/>
      <c r="G87" s="105"/>
      <c r="H87" s="106"/>
      <c r="I87" s="107"/>
      <c r="J87" s="108"/>
    </row>
    <row r="88" spans="2:10" ht="12.75">
      <c r="B88" s="109"/>
      <c r="C88" s="124" t="s">
        <v>75</v>
      </c>
      <c r="D88" s="123"/>
      <c r="E88" s="123"/>
      <c r="F88" s="123"/>
      <c r="G88" s="105"/>
      <c r="H88" s="106"/>
      <c r="I88" s="107"/>
      <c r="J88" s="108"/>
    </row>
    <row r="89" spans="2:10" ht="15.75">
      <c r="B89" s="109"/>
      <c r="C89" s="122" t="s">
        <v>77</v>
      </c>
      <c r="D89" s="123" t="s">
        <v>79</v>
      </c>
      <c r="E89" s="123"/>
      <c r="F89" s="123"/>
      <c r="G89" s="105"/>
      <c r="H89" s="106"/>
      <c r="I89" s="107"/>
      <c r="J89" s="108"/>
    </row>
    <row r="90" spans="2:10" ht="12.75">
      <c r="B90" s="109"/>
      <c r="C90" s="124" t="s">
        <v>80</v>
      </c>
      <c r="D90" s="123"/>
      <c r="E90" s="123"/>
      <c r="F90" s="123"/>
      <c r="G90" s="105"/>
      <c r="H90" s="106"/>
      <c r="I90" s="107"/>
      <c r="J90" s="108"/>
    </row>
    <row r="91" spans="2:10" ht="16.5" thickBot="1">
      <c r="B91" s="113"/>
      <c r="C91" s="125" t="s">
        <v>81</v>
      </c>
      <c r="D91" s="126" t="s">
        <v>82</v>
      </c>
      <c r="E91" s="126"/>
      <c r="F91" s="126"/>
      <c r="G91" s="114"/>
      <c r="H91" s="115"/>
      <c r="I91" s="116"/>
      <c r="J91" s="117"/>
    </row>
  </sheetData>
  <sheetProtection password="A438" sheet="1" objects="1" scenarios="1" selectLockedCells="1"/>
  <mergeCells count="55">
    <mergeCell ref="E23:F23"/>
    <mergeCell ref="H23:J23"/>
    <mergeCell ref="C45:C46"/>
    <mergeCell ref="C47:C48"/>
    <mergeCell ref="C41:C42"/>
    <mergeCell ref="C43:C44"/>
    <mergeCell ref="B23:C23"/>
    <mergeCell ref="B24:C24"/>
    <mergeCell ref="B25:C25"/>
    <mergeCell ref="B43:B44"/>
    <mergeCell ref="C49:C50"/>
    <mergeCell ref="C51:C52"/>
    <mergeCell ref="B51:B52"/>
    <mergeCell ref="C27:C28"/>
    <mergeCell ref="C29:C30"/>
    <mergeCell ref="C31:C32"/>
    <mergeCell ref="C33:C34"/>
    <mergeCell ref="C35:C36"/>
    <mergeCell ref="C37:C38"/>
    <mergeCell ref="C39:C40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3:J3"/>
    <mergeCell ref="B2:J2"/>
    <mergeCell ref="B7:J7"/>
    <mergeCell ref="D12:J12"/>
    <mergeCell ref="C5:D5"/>
    <mergeCell ref="E6:J6"/>
    <mergeCell ref="E5:J5"/>
    <mergeCell ref="B4:J4"/>
    <mergeCell ref="C6:D6"/>
    <mergeCell ref="D10:J10"/>
    <mergeCell ref="C20:D20"/>
    <mergeCell ref="C21:D21"/>
    <mergeCell ref="E21:J21"/>
    <mergeCell ref="E20:J20"/>
    <mergeCell ref="D19:J19"/>
    <mergeCell ref="D18:J18"/>
    <mergeCell ref="B17:J17"/>
    <mergeCell ref="D16:J16"/>
    <mergeCell ref="D9:J9"/>
    <mergeCell ref="D8:J8"/>
    <mergeCell ref="D15:J15"/>
    <mergeCell ref="D14:J14"/>
    <mergeCell ref="D13:J13"/>
    <mergeCell ref="D11:J11"/>
  </mergeCells>
  <dataValidations count="2">
    <dataValidation errorStyle="warning" type="list" allowBlank="1" showInputMessage="1" showErrorMessage="1" promptTitle="Bitte Format auswählen" errorTitle="Unbekanntes Kamera Format" error="Sollte das Format nicht vorhanden sein, dann ist der Wert des theoretischen Zerstreuungskreises manuel einzugeben." sqref="C5:D5">
      <formula1>$K$5:$K$16</formula1>
    </dataValidation>
    <dataValidation type="list" allowBlank="1" showInputMessage="1" showErrorMessage="1" sqref="C15">
      <formula1>$O$5:$O$18</formula1>
    </dataValidation>
  </dataValidation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2009-02-16T07:47:15Z</dcterms:created>
  <dcterms:modified xsi:type="dcterms:W3CDTF">2009-05-02T10:07:41Z</dcterms:modified>
  <cp:category/>
  <cp:version/>
  <cp:contentType/>
  <cp:contentStatus/>
</cp:coreProperties>
</file>